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G:\Dokumente Infis neu 2020\Tarot\Tools\"/>
    </mc:Choice>
  </mc:AlternateContent>
  <xr:revisionPtr revIDLastSave="0" documentId="13_ncr:1_{7CF83D5A-24A8-4AA8-BE46-44B616E0D8EF}" xr6:coauthVersionLast="47" xr6:coauthVersionMax="47" xr10:uidLastSave="{00000000-0000-0000-0000-000000000000}"/>
  <bookViews>
    <workbookView xWindow="-120" yWindow="-120" windowWidth="38640" windowHeight="21120" activeTab="3" xr2:uid="{00000000-000D-0000-FFFF-FFFF00000000}"/>
  </bookViews>
  <sheets>
    <sheet name="Auswertung" sheetId="1" r:id="rId1"/>
    <sheet name="Elemente gr. Arkana" sheetId="2" r:id="rId2"/>
    <sheet name="Baum des Lebens" sheetId="3" r:id="rId3"/>
    <sheet name="Analyse" sheetId="4" r:id="rId4"/>
  </sheet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1" l="1"/>
  <c r="I63" i="1" l="1"/>
  <c r="I64" i="1"/>
  <c r="I65" i="1"/>
  <c r="I62" i="1"/>
  <c r="I25" i="1"/>
  <c r="I26" i="1"/>
  <c r="I27" i="1"/>
  <c r="I28" i="1"/>
  <c r="I29" i="1"/>
  <c r="I30" i="1"/>
  <c r="I31" i="1"/>
  <c r="I32" i="1"/>
  <c r="I33" i="1"/>
  <c r="I24" i="1"/>
  <c r="J58" i="1" l="1"/>
  <c r="H4" i="3" s="1"/>
  <c r="J38" i="1" l="1"/>
  <c r="H6" i="3" s="1"/>
  <c r="J39" i="1"/>
  <c r="H7" i="3" s="1"/>
  <c r="J40" i="1"/>
  <c r="H8" i="3" s="1"/>
  <c r="J41" i="1"/>
  <c r="H9" i="3" s="1"/>
  <c r="J42" i="1"/>
  <c r="H10" i="3" s="1"/>
  <c r="J43" i="1"/>
  <c r="H11" i="3" s="1"/>
  <c r="J44" i="1"/>
  <c r="H12" i="3" s="1"/>
  <c r="J45" i="1"/>
  <c r="H13" i="3" s="1"/>
  <c r="J46" i="1"/>
  <c r="H14" i="3" s="1"/>
  <c r="J47" i="1"/>
  <c r="H15" i="3" s="1"/>
  <c r="J48" i="1"/>
  <c r="H16" i="3" s="1"/>
  <c r="J49" i="1"/>
  <c r="H17" i="3" s="1"/>
  <c r="J50" i="1"/>
  <c r="H18" i="3" s="1"/>
  <c r="J51" i="1"/>
  <c r="H19" i="3" s="1"/>
  <c r="J52" i="1"/>
  <c r="H20" i="3" s="1"/>
  <c r="J53" i="1"/>
  <c r="H21" i="3" s="1"/>
  <c r="J54" i="1"/>
  <c r="H22" i="3" s="1"/>
  <c r="J55" i="1"/>
  <c r="H23" i="3" s="1"/>
  <c r="J56" i="1"/>
  <c r="H24" i="3" s="1"/>
  <c r="J57" i="1"/>
  <c r="H25" i="3" s="1"/>
  <c r="J37" i="1"/>
  <c r="H5" i="3" s="1"/>
  <c r="F30" i="1" l="1"/>
  <c r="F29" i="1"/>
  <c r="E28" i="1"/>
  <c r="G28" i="1"/>
  <c r="F27" i="1"/>
  <c r="E26" i="1"/>
  <c r="G26" i="1"/>
  <c r="E25" i="1"/>
  <c r="G25" i="1"/>
  <c r="F24" i="1"/>
  <c r="G12" i="1" l="1"/>
  <c r="F65" i="1" l="1"/>
  <c r="F64" i="1"/>
  <c r="F63" i="1"/>
  <c r="F62" i="1"/>
  <c r="D33" i="1"/>
  <c r="D32" i="1"/>
  <c r="D31" i="1"/>
  <c r="D30" i="1"/>
  <c r="D29" i="1"/>
  <c r="D28" i="1"/>
  <c r="D27" i="1"/>
  <c r="D26" i="1"/>
  <c r="D25" i="1"/>
  <c r="D24" i="1"/>
  <c r="C66" i="1"/>
  <c r="D66" i="1" s="1"/>
  <c r="F54" i="1"/>
  <c r="F58" i="1"/>
  <c r="F57" i="1"/>
  <c r="F56" i="1"/>
  <c r="F55" i="1"/>
  <c r="F53" i="1"/>
  <c r="F52" i="1"/>
  <c r="F51" i="1"/>
  <c r="F50" i="1"/>
  <c r="F49" i="1"/>
  <c r="F48" i="1"/>
  <c r="F47" i="1"/>
  <c r="F46" i="1"/>
  <c r="F45" i="1"/>
  <c r="F44" i="1"/>
  <c r="F43" i="1"/>
  <c r="F42" i="1"/>
  <c r="F41" i="1"/>
  <c r="F40" i="1"/>
  <c r="F39" i="1"/>
  <c r="F38" i="1"/>
  <c r="F37" i="1"/>
  <c r="F66" i="1" l="1"/>
  <c r="D34" i="1"/>
  <c r="F59" i="1"/>
  <c r="C59" i="1"/>
  <c r="D59" i="1" s="1"/>
  <c r="C34" i="1"/>
  <c r="E34" i="1" s="1"/>
  <c r="D18" i="1"/>
  <c r="D19" i="1"/>
  <c r="F19" i="1" s="1"/>
  <c r="D20" i="1"/>
  <c r="F20" i="1" s="1"/>
  <c r="D17" i="1"/>
  <c r="H17" i="1" l="1"/>
  <c r="A69" i="1"/>
  <c r="H18" i="1"/>
  <c r="F18" i="1"/>
  <c r="D21" i="1"/>
  <c r="F17" i="1"/>
  <c r="E21" i="1"/>
  <c r="C21" i="1"/>
  <c r="G20" i="1" s="1"/>
  <c r="D12" i="1"/>
  <c r="E14" i="1"/>
  <c r="D14" i="1"/>
  <c r="F14" i="1" s="1"/>
  <c r="E13" i="1"/>
  <c r="D13" i="1"/>
  <c r="E12" i="1"/>
  <c r="C69" i="1"/>
  <c r="E15" i="1" l="1"/>
  <c r="F13" i="1"/>
  <c r="F12" i="1"/>
  <c r="H19" i="1"/>
  <c r="D69" i="1"/>
  <c r="D15" i="1"/>
  <c r="F69" i="1" l="1"/>
  <c r="G69" i="1"/>
  <c r="E69" i="1"/>
</calcChain>
</file>

<file path=xl/sharedStrings.xml><?xml version="1.0" encoding="utf-8"?>
<sst xmlns="http://schemas.openxmlformats.org/spreadsheetml/2006/main" count="670" uniqueCount="422">
  <si>
    <t>Tarot Layout-Analyse</t>
  </si>
  <si>
    <t>Legung:</t>
  </si>
  <si>
    <t>Art der Legung</t>
  </si>
  <si>
    <t>Auswertung</t>
  </si>
  <si>
    <t>Anzahl grosse Arkana:</t>
  </si>
  <si>
    <t>Anzahl Karten total:</t>
  </si>
  <si>
    <t>Anzahl Hofkarten:</t>
  </si>
  <si>
    <t>Prozent in Legung</t>
  </si>
  <si>
    <t>Idealwert %</t>
  </si>
  <si>
    <t>0 (22)</t>
  </si>
  <si>
    <t>Nummer</t>
  </si>
  <si>
    <t>Name</t>
  </si>
  <si>
    <t>Astrologische Zuordnung</t>
  </si>
  <si>
    <t>Element</t>
  </si>
  <si>
    <t>Der Narr</t>
  </si>
  <si>
    <t>Der Magier</t>
  </si>
  <si>
    <t>Die Hohepriesterin</t>
  </si>
  <si>
    <t>Die Herrscherin</t>
  </si>
  <si>
    <t>Der Herrrscher</t>
  </si>
  <si>
    <t>Der Hierophant</t>
  </si>
  <si>
    <t>Die Liebenden</t>
  </si>
  <si>
    <t>Der Wagen</t>
  </si>
  <si>
    <t>Die Kraft</t>
  </si>
  <si>
    <t>Der Eremit</t>
  </si>
  <si>
    <t>Das Rad des Schicksals</t>
  </si>
  <si>
    <t>Die Gerechtigkeit</t>
  </si>
  <si>
    <t>Der Gehängte</t>
  </si>
  <si>
    <t>Der Tod</t>
  </si>
  <si>
    <t>Die Mässigkeit</t>
  </si>
  <si>
    <t>Der Teufel</t>
  </si>
  <si>
    <t>Der Turm</t>
  </si>
  <si>
    <t>Der Stern</t>
  </si>
  <si>
    <t>Der Mond</t>
  </si>
  <si>
    <t>Die Sonne</t>
  </si>
  <si>
    <t>Das Gericht</t>
  </si>
  <si>
    <t>Die Welt</t>
  </si>
  <si>
    <t>Luft (Uranus) - Element</t>
  </si>
  <si>
    <t>Merkur - Planet</t>
  </si>
  <si>
    <t>Mond - Planet</t>
  </si>
  <si>
    <t>Venus - Planet</t>
  </si>
  <si>
    <t>Aries - Widder - Tierkreiszeichen</t>
  </si>
  <si>
    <t>Taurus - Stier - Tierkreiszeichen</t>
  </si>
  <si>
    <t>Gemini - Zwillinge - Tierkreiszeichen</t>
  </si>
  <si>
    <t>Cancer - Krebs - Tierkreiszeichen</t>
  </si>
  <si>
    <t>Leo - Löwe - Tierkreiszeichen</t>
  </si>
  <si>
    <t>Virgo - Jungfrau - Tierkreiszeichen</t>
  </si>
  <si>
    <t>Jupiter - Planet</t>
  </si>
  <si>
    <t>Libra - Waage - Tierkreiszeichen</t>
  </si>
  <si>
    <t>Wasser (Neptun) - Element</t>
  </si>
  <si>
    <t>Scorpio - Skorpion - Tierkreiszeichen</t>
  </si>
  <si>
    <t>Sagittarius - Schütze - Tierkreiszeichen</t>
  </si>
  <si>
    <t>Capricorn - Widder - Tierkreiszeichen</t>
  </si>
  <si>
    <t>Mars - Planet</t>
  </si>
  <si>
    <t>Aquarius - Wassermann - Tierkreiszeichen</t>
  </si>
  <si>
    <t>Pisces - Fische - Tierkreiszeichen</t>
  </si>
  <si>
    <t>Sonne - Planet</t>
  </si>
  <si>
    <t>Feuer (Pluto) - Element (und Geist)</t>
  </si>
  <si>
    <t>Saturn - Planet, Erde - Element</t>
  </si>
  <si>
    <t>Luft</t>
  </si>
  <si>
    <t>Wasser</t>
  </si>
  <si>
    <t>Erde</t>
  </si>
  <si>
    <t>Feuer</t>
  </si>
  <si>
    <t>Summe:</t>
  </si>
  <si>
    <t>Anzahl Feuer (Stäbe):</t>
  </si>
  <si>
    <t>Anzahl Wasser (Kelche):</t>
  </si>
  <si>
    <t>Anzahl Luft (Schwerter):</t>
  </si>
  <si>
    <t>Anzahl Erde (Münzen):</t>
  </si>
  <si>
    <t>Anzahl</t>
  </si>
  <si>
    <t>Sephira</t>
  </si>
  <si>
    <t>Diese Analyse kann nur für grössere Legungen verwendet werden! Das Minimum sind 8 Karten.</t>
  </si>
  <si>
    <t>In den violett hinterlegten Zellen Werte eingeben.</t>
  </si>
  <si>
    <t>Grosse Arkana</t>
  </si>
  <si>
    <t>1 Der Magier</t>
  </si>
  <si>
    <t>2 Die Hohepriesterin</t>
  </si>
  <si>
    <t>3 Die Herrscherin</t>
  </si>
  <si>
    <t>4 Der Herrscher</t>
  </si>
  <si>
    <t>5 Der Hierophant</t>
  </si>
  <si>
    <t>6 Die Liebenden</t>
  </si>
  <si>
    <t>7 Der Wagen</t>
  </si>
  <si>
    <t>8 Die Kraft</t>
  </si>
  <si>
    <t>9 Der Eremit</t>
  </si>
  <si>
    <t>10 Das Rad des Schicksals</t>
  </si>
  <si>
    <t>11 Die Gerechtigkeit</t>
  </si>
  <si>
    <t>12 Der Gehängte</t>
  </si>
  <si>
    <t>13 Der Tod</t>
  </si>
  <si>
    <t>14 Die Mässigkeit</t>
  </si>
  <si>
    <t>15 Der Teufel</t>
  </si>
  <si>
    <t>16 Der Turm</t>
  </si>
  <si>
    <t>17 Der Stern</t>
  </si>
  <si>
    <t>18 Der Mond</t>
  </si>
  <si>
    <t>19 Die Sonne</t>
  </si>
  <si>
    <t>20 Das Gericht</t>
  </si>
  <si>
    <t>21 Die Welt</t>
  </si>
  <si>
    <t>Konstellation</t>
  </si>
  <si>
    <t>Gruppe</t>
  </si>
  <si>
    <t>22 Der Narr</t>
  </si>
  <si>
    <t>Wert für Quintessenz</t>
  </si>
  <si>
    <t>Hofkarten</t>
  </si>
  <si>
    <t>Könige</t>
  </si>
  <si>
    <t>Ritter</t>
  </si>
  <si>
    <t>Quintessenz</t>
  </si>
  <si>
    <t>Quersumme</t>
  </si>
  <si>
    <t>Summe aller Karten</t>
  </si>
  <si>
    <t>Summe Luft und Feuer:</t>
  </si>
  <si>
    <t>Summe Erde und Wasser:</t>
  </si>
  <si>
    <t>Karte</t>
  </si>
  <si>
    <t>Pfad</t>
  </si>
  <si>
    <t>Hebräisch</t>
  </si>
  <si>
    <t>ב</t>
  </si>
  <si>
    <t>ג</t>
  </si>
  <si>
    <t>ד</t>
  </si>
  <si>
    <t>ה</t>
  </si>
  <si>
    <t>ו</t>
  </si>
  <si>
    <t>ז</t>
  </si>
  <si>
    <t>ח</t>
  </si>
  <si>
    <t>ט</t>
  </si>
  <si>
    <t>י</t>
  </si>
  <si>
    <t>כ</t>
  </si>
  <si>
    <t>ל</t>
  </si>
  <si>
    <t>מ</t>
  </si>
  <si>
    <t>נ</t>
  </si>
  <si>
    <t>ס</t>
  </si>
  <si>
    <t>ע</t>
  </si>
  <si>
    <t>פ</t>
  </si>
  <si>
    <t>צ</t>
  </si>
  <si>
    <t>ק</t>
  </si>
  <si>
    <t>ר</t>
  </si>
  <si>
    <t>ש</t>
  </si>
  <si>
    <t>ת</t>
  </si>
  <si>
    <t>א</t>
  </si>
  <si>
    <t>Beth</t>
  </si>
  <si>
    <t>Gimel</t>
  </si>
  <si>
    <t>Daleth</t>
  </si>
  <si>
    <t>Heh</t>
  </si>
  <si>
    <t>Vav</t>
  </si>
  <si>
    <t>Zaïn</t>
  </si>
  <si>
    <t>Cheth</t>
  </si>
  <si>
    <t>Teth</t>
  </si>
  <si>
    <t>Yod</t>
  </si>
  <si>
    <t>Kaph</t>
  </si>
  <si>
    <t>Lamed</t>
  </si>
  <si>
    <t>Mem</t>
  </si>
  <si>
    <t>Nun</t>
  </si>
  <si>
    <t>Samekh</t>
  </si>
  <si>
    <t>Ayin</t>
  </si>
  <si>
    <t>Peh</t>
  </si>
  <si>
    <t>Tzaddi</t>
  </si>
  <si>
    <t>Qoph</t>
  </si>
  <si>
    <t>Resh</t>
  </si>
  <si>
    <t>Shin</t>
  </si>
  <si>
    <t>Aleph</t>
  </si>
  <si>
    <t>Tav</t>
  </si>
  <si>
    <t>Atziluth</t>
  </si>
  <si>
    <t>Briah</t>
  </si>
  <si>
    <t>Jetzirah</t>
  </si>
  <si>
    <t>Assiah</t>
  </si>
  <si>
    <t>Elemente</t>
  </si>
  <si>
    <t>Viele Stäbe (Feuer)</t>
  </si>
  <si>
    <t>Positiv</t>
  </si>
  <si>
    <t>Negativ</t>
  </si>
  <si>
    <t>Viele Kelche (Wasser)</t>
  </si>
  <si>
    <t>Viele Schwerter (Luft)</t>
  </si>
  <si>
    <t>Viele Münzen (Erde)</t>
  </si>
  <si>
    <t>Keine Stäbe (Feuer)</t>
  </si>
  <si>
    <t>Keine Kelche (Wasser)</t>
  </si>
  <si>
    <t>Keine Schwerter (Luft)</t>
  </si>
  <si>
    <t>Keine Münzen (Erde)</t>
  </si>
  <si>
    <t>Viele Buben</t>
  </si>
  <si>
    <t>Viele Ritter</t>
  </si>
  <si>
    <t>Jetzt muss Neues gelernt werden, es müssen Informationen beschafft werden, die Dinge müssen konkret werden.</t>
  </si>
  <si>
    <t>Jetzt ist Aktivität gefragt. Tatkraft und Bewegung sind jetzt wichtig.</t>
  </si>
  <si>
    <t>Viele Königinnen</t>
  </si>
  <si>
    <t>Verständnis, Mitgefühl, Erkenntnis, Hingabe sind jetzt wichtig.</t>
  </si>
  <si>
    <t>Viele Könige</t>
  </si>
  <si>
    <t>Kontrolle, Machtausübung, Autorität, Regeln erstellen und durchsetzen. Jetzt kann man die Sache nicht aus der Hand geben.</t>
  </si>
  <si>
    <t>Farbkarten</t>
  </si>
  <si>
    <t>Viele Asse</t>
  </si>
  <si>
    <t>Viele Zweier</t>
  </si>
  <si>
    <t>Viele Möglichkeiten, genaues Abwägen ist nötig.</t>
  </si>
  <si>
    <t>Innerer Konflikt, falsche oder keine Entscheidung, zu viele Dinge auf einmal erledigen wollen.</t>
  </si>
  <si>
    <t>Viele Dreier</t>
  </si>
  <si>
    <t>Verdichtung, handlungsunfähig, erstarrt, träge.</t>
  </si>
  <si>
    <t>Viele Vierer</t>
  </si>
  <si>
    <t>Die Dinge werden sehr konkret, jetzt muss gehandelt werden.</t>
  </si>
  <si>
    <t>Bewegung, Veränderung, Erholung, Regeneration.</t>
  </si>
  <si>
    <t>Übermass, zu viel von etwas, Übersättigung, Wucherung.</t>
  </si>
  <si>
    <t>Viele Fünfer</t>
  </si>
  <si>
    <t>Kraft, Macht, Wille, Stärke, Kampf, Sieg, Wetteifer, Mut.</t>
  </si>
  <si>
    <t>Aggression, Streit, Verlust, Zerstörung.</t>
  </si>
  <si>
    <t>Viele Sechser</t>
  </si>
  <si>
    <t>Harmonie, Zufriedenheit, Kooperation, Sicherheit, Balance.</t>
  </si>
  <si>
    <t>Ausruhen auf dem Erreichten, Selbstzufriedenheit, Arroganz.</t>
  </si>
  <si>
    <t>Viele Siebener</t>
  </si>
  <si>
    <t xml:space="preserve">Kreativität, Kunst, Gefühle, Schönheit, Liebe. </t>
  </si>
  <si>
    <t>Instabilität, Süchte, Laster, Illusionen, aufgewühlte Emotionen, Chaos.</t>
  </si>
  <si>
    <t>Viele Achter</t>
  </si>
  <si>
    <t>Klares Denken, Struktur, pragmatisches Handeln, Objektivität.</t>
  </si>
  <si>
    <t>Dogma, erstarrtes Denken, Kopflastigkeit.</t>
  </si>
  <si>
    <t>Viele Neuner</t>
  </si>
  <si>
    <t>Kurz vor dem Ziel, voller Energie, Erfolg, Fruchtbarkeit, Wachstum.</t>
  </si>
  <si>
    <t>Ängste, alte Verletzungen, Abwehrhaltung, fehlendes Vertrauen.</t>
  </si>
  <si>
    <t>Viele Zehner</t>
  </si>
  <si>
    <t>Das Ende, das Ziel, Erfolg, das Resultat.</t>
  </si>
  <si>
    <t>Schwere, Übermass, zu viel von etwas, Übertreibung, das schlimme Ende.</t>
  </si>
  <si>
    <t>Zu unerfahren, zu naiv.</t>
  </si>
  <si>
    <t>Hektische Aktivität, Impulsivitätk, zerstreut.</t>
  </si>
  <si>
    <t>Passivität, Abwarten, zu gefühlsbetont.</t>
  </si>
  <si>
    <t>Tyrannei, Dogmatismus, zu dominant.</t>
  </si>
  <si>
    <t>Starker Einfluss auf das Leben, starke Entwicklungs- und Erfahrungsprozesse, kann kaum verändert werden.</t>
  </si>
  <si>
    <t>Alle etwa gleich viel</t>
  </si>
  <si>
    <t>Ausgewogener Zustand, wenig dynamisch, aber harmonisch.</t>
  </si>
  <si>
    <t>Unentschlossenheit, Entscheidungsschwäche, die Chance verstreichen lassen, zu viele Möglichkeiten.</t>
  </si>
  <si>
    <t>Es fehlen der Wille und der Antrieb, man ist zu passiv, es fehlt die Vision, die Leidenschaft, kann sich den täglichen Herausforderungen nicht stellen.</t>
  </si>
  <si>
    <t>Arkana 1 - 7</t>
  </si>
  <si>
    <t>1 Magier</t>
  </si>
  <si>
    <t>2 Hohepriesterin</t>
  </si>
  <si>
    <t>3 Herrscherin</t>
  </si>
  <si>
    <t>4 Herrscher</t>
  </si>
  <si>
    <t>5 Hierophant</t>
  </si>
  <si>
    <t>6 Liebende</t>
  </si>
  <si>
    <t>7 Wagen</t>
  </si>
  <si>
    <t>8 Kraft</t>
  </si>
  <si>
    <t>9 Eremit</t>
  </si>
  <si>
    <t>10 Rad des Schicksals</t>
  </si>
  <si>
    <t>11 Gerechtigkeit</t>
  </si>
  <si>
    <t>12 Gehängter</t>
  </si>
  <si>
    <t>13 Tod</t>
  </si>
  <si>
    <t>14 Mässigkeit</t>
  </si>
  <si>
    <t>Seine Fähigkeiten und Talente finden, seine Fähigkeiten richtig einschätzen lernen.</t>
  </si>
  <si>
    <t>Verborgenes Wissen finden, seiner Intuition vertrauen, den inneren Weg finden, Glaube, Religion, Spiritualität.</t>
  </si>
  <si>
    <t>Die mütterliche Bindung und Sicherheit verlassen, seinen eigenen Weg gehen.</t>
  </si>
  <si>
    <t>Die väterliche Autorität herausfordern, die eigene Kraft finden.</t>
  </si>
  <si>
    <t>Führung im Aussen finden, Lehrer, Mentoren, Heiler, Vorbilder.</t>
  </si>
  <si>
    <t>Die richtige Entscheidung treffen, den richtigen Partner finden.</t>
  </si>
  <si>
    <t>Seinen beruflichen Weg gehen, beruflicher Erfolg, Ehrzeiz, Karriere.</t>
  </si>
  <si>
    <t>Selbst-Ausdruck, Selbstdisziplin, Begrenzungen überwinden.</t>
  </si>
  <si>
    <t>Selbsterkenntnis, sein wahres Selbst finden, spirituelle Suche.</t>
  </si>
  <si>
    <t>Das Schicksal annehmen und gestalten, eine höhere Macht akzeptieren, den Sinn finden.</t>
  </si>
  <si>
    <t>Andere respektieren und fair sein, sich an Regeln halten, höhere Gesetzmässigkeiten erkennen.</t>
  </si>
  <si>
    <t>Die Dinge anders sehen, neue Lösungen suchen, sich von Altem trennen, etwas opfern.</t>
  </si>
  <si>
    <t>Seine Endlichkeit erkennen, radikale Transformation.</t>
  </si>
  <si>
    <t>Extreme vermeiden, seine innere Balance finden, seine Mitte finden, weder zu asketisch noch zu ausschweifend leben, Dogmen vermeiden.</t>
  </si>
  <si>
    <t>Seinen Schatten erkennen und erleuchten, Süchte und Abhängigkeiten überwinden, Instinkte und Triebe integrieren.</t>
  </si>
  <si>
    <t>Erleuchtungserlebnis, plötzliche Erkenntnis, Zusammenbruch des alten Weltbildes.</t>
  </si>
  <si>
    <t>Auch in dunklen Zeiten Vertrauen und Hoffnung haben, seinen Weg trotz aller Widerstände gehen, dem inneren Stern folgen.</t>
  </si>
  <si>
    <t xml:space="preserve">In die andere Welt eintauchen, sich Ängsten stellen, spirituelle Welten erkunden ohne den Bezug zum Alltag zu verlieren, Illusion von Vision unterscheiden können. </t>
  </si>
  <si>
    <t>15 Teufel</t>
  </si>
  <si>
    <t>16 Turm</t>
  </si>
  <si>
    <t>17 Strn</t>
  </si>
  <si>
    <t>18 Mond</t>
  </si>
  <si>
    <t>19 Sonne</t>
  </si>
  <si>
    <t>Vertrauen in die höhere Führung haben, sein Licht strahlen lassen, geistige Energie in die Alltagswelt bringen, das Licht verkörpern.</t>
  </si>
  <si>
    <t>20 Gericht</t>
  </si>
  <si>
    <t>Sich selbst erneuern, neue Wege finden, Erlösung von den Bürden dieser Welt, in dieser Welt, aber nicht von dieser Welt.</t>
  </si>
  <si>
    <t>21 Welt</t>
  </si>
  <si>
    <t>Die Ganzheit finden, seine eigene Welt erschaffen, Einheit mit der göttlichen Ebene, das Leben als Tanz der Energien erfahren.</t>
  </si>
  <si>
    <t>Materielle Ebene - Praktisches Leben, Alltag, Entscheidungen, die Realität, die grundlegenden Bedürfnisse</t>
  </si>
  <si>
    <t>Arkana 8 - 14</t>
  </si>
  <si>
    <t>Psychische Ebene - Emotionale Herausforderungen, Nachdenken, Selbsterkenntnis, innere Welt</t>
  </si>
  <si>
    <t>Arkana 15 - 21</t>
  </si>
  <si>
    <t>Spirituelle Ebene - Unabhängig werden, bescheiden sein, Meditation, Spiritualität</t>
  </si>
  <si>
    <t>Entwicklung einer Thematik</t>
  </si>
  <si>
    <t>8 - 14: Mittlere Phase, grosse Veränderungen, Korrekturen, Ziel nicht aus den Augen verlieren, neue Wege zum Erfolg suchen.</t>
  </si>
  <si>
    <t xml:space="preserve">As: Erster Impuls, Potential, noch nicht sicher, ob es überhaupt anfängt. </t>
  </si>
  <si>
    <t>2 - 4: Beginn, steht am Anfang, es ist noch ein langer Weg bis zum Ziel.</t>
  </si>
  <si>
    <t>5 - 7: Mittlere Phase, grosse Veränderungen, Korrekturen, Ziel nicht aus den Augen verlieren, neue Wege zum Erfolg suchen.</t>
  </si>
  <si>
    <t>0: Erster Impuls, Potential, noch nicht sicher, ob es überhaupt anfängt.</t>
  </si>
  <si>
    <t>1 - 7: Beginn, steht am Anfang, es ist noch ein langer Weg bis zum Ziel.</t>
  </si>
  <si>
    <t>Bube und Ritter: Noch unerfahren, steht am Anfang, es ist noch ein langer Weg bis zum Ziel.</t>
  </si>
  <si>
    <t>Königin und König: Erfahren, hat die Kontrolle, es ist nicht mehr weit bis zum Ziel.</t>
  </si>
  <si>
    <t>Wo steht die tiefste Zahl in der Legung? Hier beginnt der Wandel.</t>
  </si>
  <si>
    <t>Wo steht die höchste Zahl in der Legung? Hier kann etwas abgeschlossen werden.</t>
  </si>
  <si>
    <t>Anzahl Farbkarten:</t>
  </si>
  <si>
    <t>1 Osiris</t>
  </si>
  <si>
    <t>2 Isis</t>
  </si>
  <si>
    <t>3 Horus</t>
  </si>
  <si>
    <t>Königinnen</t>
  </si>
  <si>
    <t>Summe inkl. grosse Arkana:</t>
  </si>
  <si>
    <t>Buben/Prinzessinnen</t>
  </si>
  <si>
    <t>Summe analog C13:</t>
  </si>
  <si>
    <t>Summe analog C12:</t>
  </si>
  <si>
    <t>Summe analog C14:</t>
  </si>
  <si>
    <t>Baum des Lebens</t>
  </si>
  <si>
    <t>Keine Asse</t>
  </si>
  <si>
    <t>Keine Zweier</t>
  </si>
  <si>
    <t>Keine Dreier</t>
  </si>
  <si>
    <t>Keine Vierer</t>
  </si>
  <si>
    <t>Keine Fünfer</t>
  </si>
  <si>
    <t>Keine Sechser</t>
  </si>
  <si>
    <t>Keine Siebener</t>
  </si>
  <si>
    <t>Keine Achter</t>
  </si>
  <si>
    <t>Keine Neuner</t>
  </si>
  <si>
    <t>Keine Zehner</t>
  </si>
  <si>
    <t>Es fehlen neue Impulse, es entsteht nichts Neues, fehlendes Potential für neue Erfahrungen.</t>
  </si>
  <si>
    <t>Es fehlen die Formgebung, das mütterlich Nährende, die Struktur, die konkrete Umsetzung und die Entwicklung. Chaos, Anarchie und sinnloses Verpuffen der Energien.</t>
  </si>
  <si>
    <t xml:space="preserve">Es fehlen die aktive Energie, die Bewegung und Motivation. Das Fehlen von Begegnungen, sucht nicht nach Ergänzung. Erstarrung und Tod. </t>
  </si>
  <si>
    <t xml:space="preserve">Es fehlen das langsame Wachstum, die Ausdehnung und Regeneration. Keine Grosszügigikeit und Milde. Zerstörung, Gewalt, Mangel. </t>
  </si>
  <si>
    <t xml:space="preserve">Es fehlen Disziplin, Stärke, Mut und Macht. Keine Klärung und Einschränkung. Ausufern, Wucherung, Übermass. </t>
  </si>
  <si>
    <t>Es fehlen Ausgleich, Harmonie und Gleichgewicht. Schwanken zwischen zu aktiv und zu passiv, zu brutal und zu milde, zu emotional und zu kopflastig.</t>
  </si>
  <si>
    <t xml:space="preserve">Es fehlen Gefühle, Kreativität, Emotionen, Fantasie, Vorstellungskraft, Lebendigkeit, Erotik, Schönheit, Sinnlichkeit, Kunst, Inspiration. Sehr kopflastig, erstarrt, dogmatisch. </t>
  </si>
  <si>
    <t>Es fehlen Struktur, Ordnung, Denken, Strategie, Intellekt, Systematik, Vernunft. Täuschung, Illusion, Träumerei, Ziellosigkeit, emotionales Chaos, den Trieben verfallen, Suchtverhalten.</t>
  </si>
  <si>
    <t>Es fehlen Lebenskraft und Vitalität. Fehlende Fortpflanzung, Unfruchtbarkeit. Gegensätze können nicht vereint werden, sie bleiben bestehen, fehlende Medialität und Intuition, fehlende Fülle.</t>
  </si>
  <si>
    <t>Es fehlt der Abschluss, es wird nicht konkret, alles hängt im Leeren. Unrealistisch, fehlende Tat, fehlende Umsetzung, keine Erfüllung, keine Ganzheit, keine Stabilität.</t>
  </si>
  <si>
    <t>Es müssen neue Ziele gefunden und formuliert werden. Was will die Person? Wohin soll die Reise gehen?</t>
  </si>
  <si>
    <t>Von Gefühlen überwältigt, launisch, wankelmütig, instabil, grosses Auf und Ab, wenig Stabilität, unkontrollierbare Emotionen, Traurigkeit, Erschöpfung, Depression, Ängste, Süchte, Genusssucht, Drogen, Partylöwe.</t>
  </si>
  <si>
    <t>Mangelndes Gefühl, distanziert sein, Gefühle nicht zulassen, nicht auf die innere Stimme hören, missachtet die Gefühle von anderen, hat kein Gewissen und keine Moral, lebt ohne Freude. Mangel an Mitgefühl, kopflastig, fehlendes Wohlgefühl.</t>
  </si>
  <si>
    <t>Mehr auf die Gefühle achten, auf sein Herz hören, der inneren Stimme folgen. Mehr Freude in sein Leben lassen, tolerant sein, sich etwas gönnen.</t>
  </si>
  <si>
    <t>Mehr auf Klarheit, Struktur und Objektivität achten. Kommunikation verbessern, Logik und Vernunft mehr betonen, Entscheidungen besser durchdenken.</t>
  </si>
  <si>
    <t>Fehlende Analyse, die Dinge sind nicht durchdacht, Vorurteile, Verwirrung, fehlende oder falsche Kommunikation, irrationales Verhalten, kann sich nicht entscheiden, trifft die falschen Entscheidungen. Handelt unüberlegt und unvernünftig.</t>
  </si>
  <si>
    <t xml:space="preserve">Materialismus, zu sehr auf Geld fixiert, schwer, stur, gierig, geizig, Hypochonder. Verfestigung, Schwere. Hat gegen alles Einwände und Bedenken. </t>
  </si>
  <si>
    <t>Jetzt müssen Nägel mit Köpfen gemacht werden, die Dinge zu Ende bringen, konkret werden, grosszügig sein, sich um materielle Belange kümmern. Auf mehr Stabilität achten.</t>
  </si>
  <si>
    <t>Mangel, Armut, fehlende Ressourcen, kann nicht für sich sorgen, Vernachlässigung der materiellen Bedürfnisse, Fantast, unrealistische Vorstellungen, kümmert sich nicht um seine Gesundheit, gibt zu viel Geld aus, Verschwendung. Setzt nichts um, nichts wird konkret.Träumerei.</t>
  </si>
  <si>
    <t>Zwei oder mehr fehlende Zahlen:</t>
  </si>
  <si>
    <t>Männliche Säule 2, 4, 7:</t>
  </si>
  <si>
    <t>Weibliche Säule 3, 5, 8:</t>
  </si>
  <si>
    <t>Mittlere Säule 1, 6, 9, 10:</t>
  </si>
  <si>
    <t>Es fehlen Motivation, Bewegung, Kontaktfreudigkeit, Milde, Güte, Ausdehunung und Wachstum. Die Situation erstarrt, erstickt oder stagniert.</t>
  </si>
  <si>
    <t>Es fehlen Formgebung, Struktur, Stärke, Disziplin und Konkretisierung. Die Situation wird chaotisch, sie ufert aus, die Energie verpufft sinnlos.</t>
  </si>
  <si>
    <t>Es fehlt der Ausgleich, man schwankt zwischen zu aktiv und zu passiv, zu milde und zu streng, zu emotional und zu kopflastig. Es ergibt sich kein Ausgleich zwischen Gegensätzen, sie bleiben bestehen.</t>
  </si>
  <si>
    <t>Umsetzung, Ernte, Konkretisierung, aber sehr passiv, tut nichts.</t>
  </si>
  <si>
    <t>Aktivität, Handlung, aber wenig Umsetzung.</t>
  </si>
  <si>
    <t>Thema</t>
  </si>
  <si>
    <t>Leidenschaft, Motivation, Wille, Aktivität, Dynamik, gute Absicht, viel Energie und Vitalität, Lebendigkeit, Gesundheit, berufliche Ambitionen, Kreativität, Unternehmergeist.</t>
  </si>
  <si>
    <t>Diskussion, Austausch, Kommunikation, Analyse, Strategie, Denken, klarer Verstand, Ordnung und Struktur, Systematik, Intellekt, Lernen, Wissen, soziales Umfeld, Freunde, Familie.</t>
  </si>
  <si>
    <t>Finanzen, Geld, Beruf, Arbeit, körperliche Gesundheit, materielle Belange, Besitz, Dinge zu Ende bringen, Stabilität, Sicherheit, Realismus, Umsetzung, Tat, Handlung, Manifestation.</t>
  </si>
  <si>
    <t>Ebene</t>
  </si>
  <si>
    <t>Mystisches Dreieck: 1, 2, 3:</t>
  </si>
  <si>
    <t xml:space="preserve">Das ethische Dreieck: Es fehlt die Erkenntnis. Man hat zwar etwas wahrgenommen, kann es aber nicht einordnen. Etwas ist da, man weiss aber nicht was. </t>
  </si>
  <si>
    <t>Das astrale Dreieck: Es fehlt die Handlung. Man weiss, was los ist, handelt aber nicht. Man bleibt in seiner Komfortzone.</t>
  </si>
  <si>
    <t>Das überirdische Dreieck: Es fehlt die richtige Wahrnehmung, man spürt nicht, was los ist, man hat keine Ahnung von der Situation. Es fehlt die Führung aus den geistigen Ebenen.</t>
  </si>
  <si>
    <t>Esoterisches Dreieck: 4, 5, 6:</t>
  </si>
  <si>
    <t>Psychologisches Dreieck: 7, 8, 9:</t>
  </si>
  <si>
    <t>Physische Ebene: 10</t>
  </si>
  <si>
    <t>Die irdische Ebene: Es fehlt der Abschluss, das Ende. Die Fäden bleiben lose, sie werden nicht verbunden. Die Handlung ist nicht abgeschlossen, etwas fehlt noch.</t>
  </si>
  <si>
    <t>Es werden alle Elemente gezählt, auch die von den grossen Arkana!</t>
  </si>
  <si>
    <t>Viele dafür wenig kleine Arkana</t>
  </si>
  <si>
    <t>Wenige dafür viele kleine Arkana</t>
  </si>
  <si>
    <t>Eher geringerer Einfluss auf das Leben, alltägliche Situationen, äussere Einflüsse, können eher beeinflusst werden, kleinere Themen.</t>
  </si>
  <si>
    <t>Positiv: Viele Menschen spielen eine Rolle, Hilfe und Unterstützung ist vorhanden, man ist nicht alleine.</t>
  </si>
  <si>
    <t>Negativ: Viele Menschen mischen sich ein, sie beeinflussen die Situation nicht immer günstig. Abhängigkeit von anderen, Probleme mit anderen.</t>
  </si>
  <si>
    <t>As: Potential</t>
  </si>
  <si>
    <t>2: Beginn</t>
  </si>
  <si>
    <t>3: Beginn</t>
  </si>
  <si>
    <t>4: Beginn</t>
  </si>
  <si>
    <t>5: Mittendrin</t>
  </si>
  <si>
    <t>6: Mittendrin</t>
  </si>
  <si>
    <t>7: Mittendrin</t>
  </si>
  <si>
    <t>8: Fast am Ziel</t>
  </si>
  <si>
    <t>9: Fast am Ziel</t>
  </si>
  <si>
    <t>10: Am Ziel, Ende</t>
  </si>
  <si>
    <t>Beginn</t>
  </si>
  <si>
    <t>Phase</t>
  </si>
  <si>
    <t>Mittendrin</t>
  </si>
  <si>
    <t>Fast am Ziel</t>
  </si>
  <si>
    <t>Potential</t>
  </si>
  <si>
    <t>Am Ziel, Ende</t>
  </si>
  <si>
    <t>Was du willst: Ehrgeiz, Ziele, Motivation, Unternehmungen. Wo geht die Reise hin? Was ist die aktuelle Richtung, wohin entwickelt sich das Leben gerade? Wie kann ich mein Ziel erreichen? Was kann ich tun, um die Situation zu verbessern?</t>
  </si>
  <si>
    <t>Was du fühlst: Zufriedenheit, Freude, Gefühle, Beziehung, allgemeines Lebensgefühl. Warum bin ich alleine, wie kann ich jemanden finden?</t>
  </si>
  <si>
    <t>Was du denkst: Denken, Kommunikation, Lernen, Ordnung, Struktur, Analyse, soziales Umfeld. Was ist die beste Entscheidung? Was ist das beste Vorgehen?</t>
  </si>
  <si>
    <t>Was du brauchst: Bedürfnisse, Geld, Beruf, Ressourcen, körperliche Gesundheit, körperlicher Zustand. Was kann ich tun, um meine finanzielle Situation zu verbessern? Wie komme ich zu mehr Aufträgen? Warum bin ich übergewichtig?</t>
  </si>
  <si>
    <t>Beispiel</t>
  </si>
  <si>
    <t>Betonung:</t>
  </si>
  <si>
    <t xml:space="preserve">Männliche Säule 2, 4, 7: </t>
  </si>
  <si>
    <t>Sehr viel Bewegung, Kontaktfreudigkeit, Milde, Güte, starke Expansion, aber auch Chaos, fehlende Konzentration, keine Umsetzung, fehlende Struktur.</t>
  </si>
  <si>
    <t>Vieles wird umgesetzt, die Dinge werden konkret, sie erhalten Struktur, Disziplin und Erdung. Aber auch Erstarrung, Stagnation, Schwere, Dichte, Sturheit, Unbeweglichkeit.</t>
  </si>
  <si>
    <t xml:space="preserve">Schöner Ausgleich zwischen den Polen, alles ist in Balance, Frieden, Harmonie. Aber auch fehlender Ehrgeiz, in der Komfortzone bleiben, Arroganz, keine Motivation, etwas zu tun. </t>
  </si>
  <si>
    <t>Mystisches Dreieck 1, 2, 3:</t>
  </si>
  <si>
    <t>Sehr gute Wahrnehmung, gute Verbindung mit dem höheren Selbst. Aber auch keine Umsetzung, man nimmt wahr ohne zu handeln, alles bleibt Absicht, es geht nicht weiter.</t>
  </si>
  <si>
    <t>Esoterisches Dreieck 4, 5, 6:</t>
  </si>
  <si>
    <t xml:space="preserve">Sehr gute Erkenntnis, man weiss genau, was los ist, man folgt seinem Herzen. Wenig Umsetzung, man weiss zwar, was man will, tut aber wenig dafür. </t>
  </si>
  <si>
    <t>Psychologisches Dreieck 7, 8, 9:</t>
  </si>
  <si>
    <t>Viel Handlung und Aktion, alles gerät in Bewegung, es geht voran. Es kann der Handlung an Zielgerichtetheit fehlen, Aktionismus, viel Geschrei um nichts.</t>
  </si>
  <si>
    <t>Physische Ebene 10:</t>
  </si>
  <si>
    <t>Das ist der Abschluss, es gibt ein Ziel, die Handlung findet ein Ende. Aber auch Erstarrung, Schwere, Stagnation, Materialismus, man ist festgefahren.</t>
  </si>
  <si>
    <t>Grosse Arkana in der Legung</t>
  </si>
  <si>
    <t>15 - 21: In der letzten Phase, es ist nicht mehr so weit bis zum Ziel. Die Angelegenheit hat sich schon sehr verdichtet, es gibt auch nicht mehr so viele Möglichkeiten, sie zu verändern und einen anderen Weg zu gehen.</t>
  </si>
  <si>
    <t>8 - 10: In der letzen Phase, es ist nicht mehr so weit bis zum Ziel. Die Angelegenheit hat sich schon sehr verdichtet, es gibt auch nicht mehr so viele Möglichkeiten, sie zu verändern und einen anderen Weg zu gehen.</t>
  </si>
  <si>
    <t>Hektisch, überstürzt, impulsiv, ungeduldig, will viel, bringt wenig zu Ende, geht über Leichen, aggressiv, egoistisch, Streit, Widerstand, Opposition</t>
  </si>
  <si>
    <t>Emotionen, Instinkte, grosse Gefühle, Liebe, Freude, Freundschaft, Beziehung, Sexualität, Lebensfreude, Fröhlichkeit.</t>
  </si>
  <si>
    <t>Endlose Diskussionen, Streit, Meinungsverschiedenheit, Kopflastigkeit, Dogma. Analysiert und denkt nur, hadelt nicht, Schreibtischtäter. Gefühllosigkeit, Arroganz, Kälte, Kampf, gegen die Gefühle handeln, Sorgen und Probleme, Krankheit.</t>
  </si>
  <si>
    <t>Viele neue Impulse, grosses Potential, Stärke.</t>
  </si>
  <si>
    <t>Golden Dawn Interpretation von kleinen Arkana in grosser Anzahl</t>
  </si>
  <si>
    <t>Asse</t>
  </si>
  <si>
    <t>Grosse Stärke, Macht</t>
  </si>
  <si>
    <t>Reichtum, Erfolg</t>
  </si>
  <si>
    <t>Zweier</t>
  </si>
  <si>
    <t>Verhandlungen, Besprechungen, Gespräche</t>
  </si>
  <si>
    <t>Reorganisation, Wiederaufnahme einer Sache</t>
  </si>
  <si>
    <t>Dreier</t>
  </si>
  <si>
    <t>Interpretation</t>
  </si>
  <si>
    <t>Entschluss, Entschlusskraft, Entschlossenheit, Zielstrebigkeit</t>
  </si>
  <si>
    <t>Betrug, Täuschung</t>
  </si>
  <si>
    <t>Vierer</t>
  </si>
  <si>
    <t>Ruhe, Frieden</t>
  </si>
  <si>
    <t>Fleiss</t>
  </si>
  <si>
    <t>Fünfer</t>
  </si>
  <si>
    <t>Ordnung, Regelmässigkeit, Gesetzmässigkeit, vorschriftsmässig</t>
  </si>
  <si>
    <t>Streit, Kampf, Aggression</t>
  </si>
  <si>
    <t>Sechser</t>
  </si>
  <si>
    <t>Freude</t>
  </si>
  <si>
    <t>Gewinn, Erfolg</t>
  </si>
  <si>
    <t>Siebener</t>
  </si>
  <si>
    <t>Enttäuschung</t>
  </si>
  <si>
    <t>Verträge, Abkommen, Übereinkunft</t>
  </si>
  <si>
    <t>Achter</t>
  </si>
  <si>
    <t>Viele Neuigkeiten</t>
  </si>
  <si>
    <t>Viele Reisen</t>
  </si>
  <si>
    <t>Neuner</t>
  </si>
  <si>
    <t>Zusätzliche Verantworten, neue Pflichten, neue Zuständigkeiten</t>
  </si>
  <si>
    <t>Viel Korrespondenz, Briefe, Berichte, E-Mails, usw.</t>
  </si>
  <si>
    <t>Zehner</t>
  </si>
  <si>
    <t>Ängste, Sorgen, grosses Verantwortungs- und Pflichtgefühl</t>
  </si>
  <si>
    <t>Kaufen und verkaufen, Handel, geschäftliche Transaktionen</t>
  </si>
  <si>
    <t>Buben, Prinzessinnen</t>
  </si>
  <si>
    <t>Neue Ideen und Pläne</t>
  </si>
  <si>
    <t>Gesellschaft von jungen Menschen, die Jugend</t>
  </si>
  <si>
    <t>Treffen mit einflussreichen Personen, man trifft berühmte Personen</t>
  </si>
  <si>
    <t>Rang, Status, Ehre</t>
  </si>
  <si>
    <t>Autorität, Einfluss, Macht</t>
  </si>
  <si>
    <t>Man hat mächtige und einflussreiche Freunde</t>
  </si>
  <si>
    <t>Grosse Schnelligkeit, alles geht rasch</t>
  </si>
  <si>
    <t>Unerwartete Treffen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</si>
</sst>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4"/>
      <color theme="1"/>
      <name val="Calibri"/>
      <family val="2"/>
      <scheme val="minor"/>
    </font>
    <font>
      <b/>
      <sz val="16"/>
      <color theme="1"/>
      <name val="Calibri"/>
      <family val="2"/>
      <scheme val="minor"/>
    </font>
    <font>
      <b/>
      <sz val="14"/>
      <color theme="1"/>
      <name val="Calibri"/>
      <family val="2"/>
      <scheme val="minor"/>
    </font>
    <font>
      <b/>
      <sz val="18"/>
      <color theme="1"/>
      <name val="Calibri"/>
      <family val="2"/>
      <scheme val="minor"/>
    </font>
    <font>
      <sz val="11"/>
      <color theme="1"/>
      <name val="Calibri"/>
      <family val="2"/>
      <scheme val="minor"/>
    </font>
    <font>
      <sz val="11"/>
      <color rgb="FFFF0000"/>
      <name val="Calibri"/>
      <family val="2"/>
      <scheme val="minor"/>
    </font>
    <font>
      <b/>
      <sz val="16"/>
      <color theme="1"/>
      <name val="Calibri"/>
      <family val="2"/>
      <scheme val="minor"/>
    </font>
    <font>
      <sz val="14"/>
      <color theme="1"/>
      <name val="Calibri"/>
      <family val="2"/>
      <scheme val="minor"/>
    </font>
    <font>
      <b/>
      <sz val="14"/>
      <color rgb="FF7030A0"/>
      <name val="Calibri"/>
      <family val="2"/>
      <scheme val="minor"/>
    </font>
    <font>
      <sz val="14"/>
      <color rgb="FFFF0000"/>
      <name val="Calibri"/>
      <family val="2"/>
      <scheme val="minor"/>
    </font>
    <font>
      <b/>
      <sz val="14"/>
      <color rgb="FFFF0000"/>
      <name val="Calibri"/>
      <family val="2"/>
      <scheme val="minor"/>
    </font>
    <font>
      <b/>
      <sz val="14"/>
      <color theme="9" tint="-0.499984740745262"/>
      <name val="Calibri"/>
      <family val="2"/>
      <scheme val="minor"/>
    </font>
    <font>
      <sz val="16"/>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sz val="14"/>
      <color theme="1"/>
      <name val="FrankRuehl"/>
      <family val="2"/>
    </font>
    <font>
      <b/>
      <sz val="14"/>
      <name val="Calibri"/>
      <family val="2"/>
      <scheme val="minor"/>
    </font>
    <font>
      <b/>
      <sz val="16"/>
      <color theme="1"/>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b/>
      <sz val="12"/>
      <color theme="1"/>
      <name val="Calibri"/>
      <family val="2"/>
      <scheme val="minor"/>
    </font>
  </fonts>
  <fills count="12">
    <fill>
      <patternFill patternType="none"/>
    </fill>
    <fill>
      <patternFill patternType="gray125"/>
    </fill>
    <fill>
      <patternFill patternType="solid">
        <fgColor rgb="FFCCCCFF"/>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F99CC"/>
        <bgColor indexed="64"/>
      </patternFill>
    </fill>
    <fill>
      <patternFill patternType="solid">
        <fgColor rgb="FFFFFF99"/>
        <bgColor indexed="64"/>
      </patternFill>
    </fill>
    <fill>
      <patternFill patternType="solid">
        <fgColor theme="9" tint="0.39997558519241921"/>
        <bgColor indexed="64"/>
      </patternFill>
    </fill>
    <fill>
      <patternFill patternType="solid">
        <fgColor rgb="FFFFCC66"/>
        <bgColor indexed="64"/>
      </patternFill>
    </fill>
    <fill>
      <patternFill patternType="solid">
        <fgColor theme="5" tint="0.59999389629810485"/>
        <bgColor indexed="64"/>
      </patternFill>
    </fill>
  </fills>
  <borders count="21">
    <border>
      <left/>
      <right/>
      <top/>
      <bottom/>
      <diagonal/>
    </border>
    <border>
      <left style="thin">
        <color auto="1"/>
      </left>
      <right style="thin">
        <color auto="1"/>
      </right>
      <top style="thin">
        <color auto="1"/>
      </top>
      <bottom style="thin">
        <color auto="1"/>
      </bottom>
      <diagonal/>
    </border>
    <border>
      <left/>
      <right/>
      <top style="medium">
        <color indexed="64"/>
      </top>
      <bottom/>
      <diagonal/>
    </border>
    <border>
      <left style="thin">
        <color auto="1"/>
      </left>
      <right style="thin">
        <color auto="1"/>
      </right>
      <top style="medium">
        <color indexed="64"/>
      </top>
      <bottom style="thin">
        <color auto="1"/>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s>
  <cellStyleXfs count="1">
    <xf numFmtId="0" fontId="0" fillId="0" borderId="0"/>
  </cellStyleXfs>
  <cellXfs count="107">
    <xf numFmtId="0" fontId="0" fillId="0" borderId="0" xfId="0"/>
    <xf numFmtId="0" fontId="1" fillId="0" borderId="0" xfId="0" applyFont="1" applyAlignment="1">
      <alignment horizontal="center"/>
    </xf>
    <xf numFmtId="0" fontId="2" fillId="0" borderId="0" xfId="0" applyFont="1" applyAlignment="1">
      <alignment horizontal="center"/>
    </xf>
    <xf numFmtId="49" fontId="1" fillId="0" borderId="0" xfId="0" applyNumberFormat="1" applyFont="1" applyAlignment="1">
      <alignment horizontal="center"/>
    </xf>
    <xf numFmtId="0" fontId="1" fillId="0" borderId="0" xfId="0" applyFont="1" applyAlignment="1">
      <alignment horizontal="center" vertical="center"/>
    </xf>
    <xf numFmtId="0" fontId="3" fillId="0" borderId="0" xfId="0" applyFont="1" applyAlignment="1">
      <alignment horizontal="center"/>
    </xf>
    <xf numFmtId="0" fontId="4" fillId="0" borderId="0" xfId="0" applyFont="1"/>
    <xf numFmtId="0" fontId="5" fillId="0" borderId="0" xfId="0" applyFont="1"/>
    <xf numFmtId="0" fontId="6" fillId="0" borderId="0" xfId="0" applyFont="1"/>
    <xf numFmtId="0" fontId="7" fillId="0" borderId="0" xfId="0" applyFont="1" applyAlignment="1">
      <alignment horizontal="center"/>
    </xf>
    <xf numFmtId="0" fontId="8" fillId="0" borderId="0" xfId="0" applyFont="1" applyAlignment="1">
      <alignment horizontal="center"/>
    </xf>
    <xf numFmtId="0" fontId="9" fillId="2" borderId="1" xfId="0" applyFont="1" applyFill="1" applyBorder="1" applyAlignment="1" applyProtection="1">
      <alignment horizontal="center"/>
      <protection locked="0"/>
    </xf>
    <xf numFmtId="0" fontId="10" fillId="0" borderId="0" xfId="0" applyFont="1"/>
    <xf numFmtId="0" fontId="5" fillId="0" borderId="0" xfId="0" applyFont="1" applyAlignment="1">
      <alignment horizontal="center"/>
    </xf>
    <xf numFmtId="0" fontId="9" fillId="0" borderId="0" xfId="0" applyFont="1" applyAlignment="1">
      <alignment horizontal="center"/>
    </xf>
    <xf numFmtId="2" fontId="8" fillId="0" borderId="0" xfId="0" applyNumberFormat="1" applyFont="1" applyAlignment="1">
      <alignment horizontal="center"/>
    </xf>
    <xf numFmtId="2" fontId="11" fillId="0" borderId="0" xfId="0" applyNumberFormat="1"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8" fillId="0" borderId="0" xfId="0" applyFont="1"/>
    <xf numFmtId="2" fontId="5" fillId="0" borderId="0" xfId="0" applyNumberFormat="1" applyFont="1"/>
    <xf numFmtId="0" fontId="7" fillId="0" borderId="0" xfId="0" applyFont="1"/>
    <xf numFmtId="0" fontId="13" fillId="0" borderId="0" xfId="0" applyFont="1"/>
    <xf numFmtId="0" fontId="14" fillId="0" borderId="0" xfId="0" applyFont="1" applyAlignment="1">
      <alignment horizontal="center"/>
    </xf>
    <xf numFmtId="0" fontId="14" fillId="4" borderId="0" xfId="0" applyFont="1" applyFill="1" applyAlignment="1">
      <alignment horizontal="center"/>
    </xf>
    <xf numFmtId="0" fontId="15" fillId="3" borderId="0" xfId="0" applyFont="1" applyFill="1" applyAlignment="1">
      <alignment horizontal="center"/>
    </xf>
    <xf numFmtId="0" fontId="14" fillId="5" borderId="0" xfId="0" applyFont="1" applyFill="1" applyAlignment="1">
      <alignment horizontal="center"/>
    </xf>
    <xf numFmtId="0" fontId="14" fillId="7" borderId="0" xfId="0" applyFont="1" applyFill="1" applyAlignment="1">
      <alignment horizontal="center"/>
    </xf>
    <xf numFmtId="0" fontId="14" fillId="6" borderId="0" xfId="0" applyFont="1" applyFill="1" applyAlignment="1">
      <alignment horizontal="center"/>
    </xf>
    <xf numFmtId="0" fontId="14" fillId="8" borderId="0" xfId="0" applyFont="1" applyFill="1" applyAlignment="1">
      <alignment horizontal="center"/>
    </xf>
    <xf numFmtId="0" fontId="14" fillId="10" borderId="0" xfId="0" applyFont="1" applyFill="1" applyAlignment="1">
      <alignment horizontal="center"/>
    </xf>
    <xf numFmtId="0" fontId="14" fillId="9" borderId="0" xfId="0" applyFont="1" applyFill="1" applyAlignment="1">
      <alignment horizontal="center"/>
    </xf>
    <xf numFmtId="0" fontId="14" fillId="2" borderId="0" xfId="0" applyFont="1" applyFill="1" applyAlignment="1">
      <alignment horizontal="center"/>
    </xf>
    <xf numFmtId="0" fontId="16" fillId="0" borderId="0" xfId="0" applyFont="1" applyAlignment="1">
      <alignment horizontal="center"/>
    </xf>
    <xf numFmtId="0" fontId="17" fillId="0" borderId="0" xfId="0" applyFont="1" applyAlignment="1">
      <alignment horizontal="center" vertical="center" wrapText="1"/>
    </xf>
    <xf numFmtId="0" fontId="8" fillId="0" borderId="0" xfId="0" applyFont="1" applyAlignment="1">
      <alignment horizontal="center" vertical="center" wrapText="1"/>
    </xf>
    <xf numFmtId="0" fontId="17" fillId="0" borderId="0" xfId="0" applyFont="1" applyAlignment="1">
      <alignment horizontal="center"/>
    </xf>
    <xf numFmtId="49" fontId="7" fillId="0" borderId="0" xfId="0" applyNumberFormat="1" applyFont="1" applyAlignment="1">
      <alignment horizontal="center"/>
    </xf>
    <xf numFmtId="0" fontId="18" fillId="0" borderId="0" xfId="0" applyFont="1" applyAlignment="1">
      <alignment horizontal="center"/>
    </xf>
    <xf numFmtId="49" fontId="16" fillId="0" borderId="0" xfId="0" applyNumberFormat="1" applyFont="1" applyAlignment="1">
      <alignment horizontal="center"/>
    </xf>
    <xf numFmtId="0" fontId="19" fillId="0" borderId="0" xfId="0" applyFont="1" applyAlignment="1">
      <alignment horizontal="center"/>
    </xf>
    <xf numFmtId="0" fontId="20" fillId="0" borderId="0" xfId="0" applyFont="1"/>
    <xf numFmtId="0" fontId="20" fillId="0" borderId="0" xfId="0" applyFont="1" applyAlignment="1">
      <alignment horizontal="center"/>
    </xf>
    <xf numFmtId="0" fontId="0" fillId="0" borderId="0" xfId="0" applyAlignment="1">
      <alignment horizontal="center"/>
    </xf>
    <xf numFmtId="0" fontId="21" fillId="0" borderId="0" xfId="0" applyFont="1" applyAlignment="1">
      <alignment horizontal="center"/>
    </xf>
    <xf numFmtId="0" fontId="19" fillId="0" borderId="0" xfId="0" applyFont="1" applyAlignment="1">
      <alignment horizontal="left"/>
    </xf>
    <xf numFmtId="0" fontId="0" fillId="0" borderId="0" xfId="0" applyAlignment="1">
      <alignment horizontal="left"/>
    </xf>
    <xf numFmtId="0" fontId="20" fillId="0" borderId="0" xfId="0" applyFont="1" applyAlignment="1">
      <alignment horizontal="left"/>
    </xf>
    <xf numFmtId="0" fontId="2" fillId="0" borderId="0" xfId="0" applyFont="1" applyAlignment="1">
      <alignment horizontal="left"/>
    </xf>
    <xf numFmtId="0" fontId="21" fillId="0" borderId="0" xfId="0" applyFont="1" applyAlignment="1">
      <alignment horizontal="left"/>
    </xf>
    <xf numFmtId="20" fontId="0" fillId="0" borderId="0" xfId="0" applyNumberFormat="1" applyAlignment="1">
      <alignment horizontal="left"/>
    </xf>
    <xf numFmtId="0" fontId="0" fillId="0" borderId="0" xfId="0" applyAlignment="1">
      <alignment horizontal="left" vertical="center"/>
    </xf>
    <xf numFmtId="0" fontId="22" fillId="0" borderId="0" xfId="0" applyFont="1" applyAlignment="1">
      <alignment horizontal="left"/>
    </xf>
    <xf numFmtId="0" fontId="8" fillId="7" borderId="0" xfId="0" applyFont="1" applyFill="1" applyAlignment="1">
      <alignment horizontal="center"/>
    </xf>
    <xf numFmtId="0" fontId="8" fillId="11" borderId="0" xfId="0" applyFont="1" applyFill="1" applyAlignment="1">
      <alignment horizontal="center"/>
    </xf>
    <xf numFmtId="0" fontId="8" fillId="6" borderId="0" xfId="0" applyFont="1" applyFill="1" applyAlignment="1">
      <alignment horizontal="center"/>
    </xf>
    <xf numFmtId="0" fontId="8" fillId="8" borderId="0" xfId="0" applyFont="1" applyFill="1" applyAlignment="1">
      <alignment horizontal="center"/>
    </xf>
    <xf numFmtId="0" fontId="8" fillId="0" borderId="2" xfId="0" applyFont="1" applyBorder="1" applyAlignment="1">
      <alignment horizontal="center"/>
    </xf>
    <xf numFmtId="0" fontId="9" fillId="2" borderId="3" xfId="0" applyFont="1" applyFill="1" applyBorder="1" applyAlignment="1" applyProtection="1">
      <alignment horizontal="center"/>
      <protection locked="0"/>
    </xf>
    <xf numFmtId="0" fontId="1" fillId="0" borderId="2" xfId="0" applyFont="1" applyBorder="1" applyAlignment="1">
      <alignment horizontal="center"/>
    </xf>
    <xf numFmtId="0" fontId="17" fillId="0" borderId="2" xfId="0" applyFont="1" applyBorder="1" applyAlignment="1">
      <alignment horizontal="center" vertical="center" wrapText="1"/>
    </xf>
    <xf numFmtId="0" fontId="8" fillId="0" borderId="2" xfId="0" applyFont="1" applyBorder="1" applyAlignment="1">
      <alignment horizontal="center" vertical="center" wrapText="1"/>
    </xf>
    <xf numFmtId="0" fontId="1" fillId="0" borderId="4" xfId="0" applyFont="1" applyBorder="1" applyAlignment="1">
      <alignment horizontal="center"/>
    </xf>
    <xf numFmtId="49" fontId="8" fillId="0" borderId="0" xfId="0" applyNumberFormat="1" applyFont="1" applyAlignment="1">
      <alignment horizontal="center"/>
    </xf>
    <xf numFmtId="0" fontId="1" fillId="0" borderId="5" xfId="0" applyFont="1" applyBorder="1" applyAlignment="1">
      <alignment horizontal="center"/>
    </xf>
    <xf numFmtId="0" fontId="8" fillId="0" borderId="6" xfId="0" applyFont="1" applyBorder="1" applyAlignment="1">
      <alignment horizontal="center"/>
    </xf>
    <xf numFmtId="0" fontId="9" fillId="2" borderId="7" xfId="0" applyFont="1" applyFill="1" applyBorder="1" applyAlignment="1" applyProtection="1">
      <alignment horizontal="center"/>
      <protection locked="0"/>
    </xf>
    <xf numFmtId="49" fontId="8" fillId="0" borderId="6" xfId="0" applyNumberFormat="1" applyFont="1" applyBorder="1" applyAlignment="1">
      <alignment horizontal="center"/>
    </xf>
    <xf numFmtId="0" fontId="1" fillId="0" borderId="6" xfId="0" applyFont="1" applyBorder="1" applyAlignment="1">
      <alignment horizontal="center"/>
    </xf>
    <xf numFmtId="0" fontId="17" fillId="0" borderId="6" xfId="0" applyFont="1" applyBorder="1" applyAlignment="1">
      <alignment horizontal="center" vertical="center" wrapText="1"/>
    </xf>
    <xf numFmtId="0" fontId="8" fillId="0" borderId="6" xfId="0" applyFont="1" applyBorder="1" applyAlignment="1">
      <alignment horizontal="center" vertical="center" wrapText="1"/>
    </xf>
    <xf numFmtId="0" fontId="1" fillId="0" borderId="8" xfId="0" applyFont="1" applyBorder="1" applyAlignment="1">
      <alignment horizontal="center"/>
    </xf>
    <xf numFmtId="49" fontId="8" fillId="0" borderId="9" xfId="0" applyNumberFormat="1" applyFont="1" applyBorder="1" applyAlignment="1">
      <alignment horizontal="center"/>
    </xf>
    <xf numFmtId="49" fontId="8" fillId="0" borderId="10" xfId="0" applyNumberFormat="1" applyFont="1" applyBorder="1" applyAlignment="1">
      <alignment horizontal="center"/>
    </xf>
    <xf numFmtId="49" fontId="8" fillId="0" borderId="11" xfId="0" applyNumberFormat="1" applyFont="1" applyBorder="1" applyAlignment="1">
      <alignment horizontal="center"/>
    </xf>
    <xf numFmtId="0" fontId="9" fillId="2" borderId="12" xfId="0" applyFont="1" applyFill="1" applyBorder="1" applyAlignment="1" applyProtection="1">
      <alignment horizontal="center"/>
      <protection locked="0"/>
    </xf>
    <xf numFmtId="49" fontId="8" fillId="0" borderId="2" xfId="0" applyNumberFormat="1" applyFont="1" applyBorder="1" applyAlignment="1">
      <alignment horizontal="center"/>
    </xf>
    <xf numFmtId="0" fontId="17" fillId="0" borderId="6" xfId="0" applyFont="1" applyBorder="1" applyAlignment="1">
      <alignment horizontal="center"/>
    </xf>
    <xf numFmtId="49" fontId="8" fillId="0" borderId="13" xfId="0" applyNumberFormat="1" applyFont="1" applyBorder="1" applyAlignment="1">
      <alignment horizontal="center"/>
    </xf>
    <xf numFmtId="0" fontId="8" fillId="0" borderId="14" xfId="0" applyFont="1" applyBorder="1" applyAlignment="1">
      <alignment horizontal="center"/>
    </xf>
    <xf numFmtId="0" fontId="9" fillId="2" borderId="15" xfId="0" applyFont="1" applyFill="1" applyBorder="1" applyAlignment="1" applyProtection="1">
      <alignment horizontal="center"/>
      <protection locked="0"/>
    </xf>
    <xf numFmtId="49" fontId="8" fillId="0" borderId="14" xfId="0" applyNumberFormat="1" applyFont="1" applyBorder="1" applyAlignment="1">
      <alignment horizontal="center"/>
    </xf>
    <xf numFmtId="0" fontId="1" fillId="0" borderId="14" xfId="0" applyFont="1" applyBorder="1" applyAlignment="1">
      <alignment horizontal="center"/>
    </xf>
    <xf numFmtId="0" fontId="17" fillId="0" borderId="14" xfId="0" applyFont="1" applyBorder="1" applyAlignment="1">
      <alignment horizontal="center"/>
    </xf>
    <xf numFmtId="0" fontId="8" fillId="0" borderId="14" xfId="0" applyFont="1" applyBorder="1" applyAlignment="1">
      <alignment horizontal="center" vertical="center" wrapText="1"/>
    </xf>
    <xf numFmtId="0" fontId="1" fillId="0" borderId="16" xfId="0" applyFont="1" applyBorder="1" applyAlignment="1">
      <alignment horizontal="center"/>
    </xf>
    <xf numFmtId="0" fontId="1" fillId="0" borderId="13" xfId="0" applyFont="1" applyBorder="1" applyAlignment="1">
      <alignment horizontal="center"/>
    </xf>
    <xf numFmtId="0" fontId="8" fillId="7" borderId="14" xfId="0" applyFont="1" applyFill="1" applyBorder="1" applyAlignment="1">
      <alignment horizontal="center"/>
    </xf>
    <xf numFmtId="0" fontId="9" fillId="2" borderId="17" xfId="0" applyFont="1" applyFill="1" applyBorder="1" applyAlignment="1" applyProtection="1">
      <alignment horizontal="center"/>
      <protection locked="0"/>
    </xf>
    <xf numFmtId="0" fontId="1" fillId="0" borderId="9" xfId="0" applyFont="1" applyBorder="1" applyAlignment="1">
      <alignment horizontal="center"/>
    </xf>
    <xf numFmtId="0" fontId="8" fillId="7" borderId="2" xfId="0" applyFont="1" applyFill="1" applyBorder="1" applyAlignment="1">
      <alignment horizontal="center"/>
    </xf>
    <xf numFmtId="0" fontId="9" fillId="2" borderId="18" xfId="0" applyFont="1" applyFill="1" applyBorder="1" applyAlignment="1" applyProtection="1">
      <alignment horizontal="center"/>
      <protection locked="0"/>
    </xf>
    <xf numFmtId="0" fontId="1" fillId="0" borderId="10" xfId="0" applyFont="1" applyBorder="1" applyAlignment="1">
      <alignment horizontal="center"/>
    </xf>
    <xf numFmtId="0" fontId="9" fillId="2" borderId="19" xfId="0" applyFont="1" applyFill="1" applyBorder="1" applyAlignment="1" applyProtection="1">
      <alignment horizontal="center"/>
      <protection locked="0"/>
    </xf>
    <xf numFmtId="0" fontId="1" fillId="0" borderId="11" xfId="0" applyFont="1" applyBorder="1" applyAlignment="1">
      <alignment horizontal="center"/>
    </xf>
    <xf numFmtId="0" fontId="9" fillId="2" borderId="20" xfId="0" applyFont="1" applyFill="1" applyBorder="1" applyAlignment="1" applyProtection="1">
      <alignment horizontal="center"/>
      <protection locked="0"/>
    </xf>
    <xf numFmtId="0" fontId="8" fillId="8" borderId="6" xfId="0" applyFont="1" applyFill="1" applyBorder="1" applyAlignment="1">
      <alignment horizontal="center"/>
    </xf>
    <xf numFmtId="0" fontId="8" fillId="8" borderId="2" xfId="0" applyFont="1" applyFill="1" applyBorder="1" applyAlignment="1">
      <alignment horizontal="center"/>
    </xf>
    <xf numFmtId="0" fontId="8" fillId="11" borderId="6" xfId="0" applyFont="1" applyFill="1" applyBorder="1" applyAlignment="1">
      <alignment horizontal="center"/>
    </xf>
    <xf numFmtId="0" fontId="8" fillId="6" borderId="6" xfId="0" applyFont="1" applyFill="1" applyBorder="1" applyAlignment="1">
      <alignment horizontal="center"/>
    </xf>
    <xf numFmtId="0" fontId="8" fillId="6" borderId="2" xfId="0" applyFont="1" applyFill="1" applyBorder="1" applyAlignment="1">
      <alignment horizontal="center"/>
    </xf>
    <xf numFmtId="0" fontId="14" fillId="11" borderId="0" xfId="0" applyFont="1" applyFill="1" applyAlignment="1">
      <alignment horizontal="center"/>
    </xf>
    <xf numFmtId="0" fontId="1" fillId="0" borderId="0" xfId="0" applyFont="1"/>
    <xf numFmtId="0" fontId="3" fillId="0" borderId="0" xfId="0" applyFont="1"/>
    <xf numFmtId="0" fontId="23" fillId="0" borderId="0" xfId="0" applyFont="1" applyAlignment="1">
      <alignment horizontal="center"/>
    </xf>
    <xf numFmtId="0" fontId="23" fillId="0" borderId="0" xfId="0" applyFont="1" applyAlignment="1">
      <alignment horizontal="left"/>
    </xf>
    <xf numFmtId="0" fontId="11" fillId="0" borderId="0" xfId="0" applyFont="1" applyAlignment="1">
      <alignment horizontal="center" vertical="center"/>
    </xf>
  </cellXfs>
  <cellStyles count="1">
    <cellStyle name="Standard" xfId="0" builtinId="0"/>
  </cellStyles>
  <dxfs count="6">
    <dxf>
      <font>
        <color theme="1"/>
      </font>
      <fill>
        <patternFill>
          <bgColor rgb="FFFFC7CE"/>
        </patternFill>
      </fill>
    </dxf>
    <dxf>
      <font>
        <color rgb="FF9C0006"/>
      </font>
      <fill>
        <patternFill>
          <bgColor rgb="FFFFC7CE"/>
        </patternFill>
      </fill>
    </dxf>
    <dxf>
      <font>
        <b/>
        <i val="0"/>
        <color theme="1"/>
      </font>
      <fill>
        <patternFill>
          <bgColor rgb="FFFFC7CE"/>
        </patternFill>
      </fill>
    </dxf>
    <dxf>
      <font>
        <strike val="0"/>
        <color theme="9"/>
      </font>
      <fill>
        <patternFill>
          <bgColor rgb="FFFFC7CE"/>
        </patternFill>
      </fill>
    </dxf>
    <dxf>
      <font>
        <b/>
        <i val="0"/>
        <color theme="9"/>
      </font>
      <fill>
        <patternFill>
          <bgColor rgb="FFFFC7CE"/>
        </patternFill>
      </fill>
    </dxf>
    <dxf>
      <font>
        <color auto="1"/>
      </font>
      <fill>
        <patternFill>
          <bgColor theme="9" tint="0.39994506668294322"/>
        </patternFill>
      </fill>
    </dxf>
  </dxfs>
  <tableStyles count="0" defaultTableStyle="TableStyleMedium2" defaultPivotStyle="PivotStyleLight16"/>
  <colors>
    <mruColors>
      <color rgb="FFFFFF99"/>
      <color rgb="FFCCCCFF"/>
      <color rgb="FFFF99CC"/>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166383</xdr:colOff>
      <xdr:row>1</xdr:row>
      <xdr:rowOff>57151</xdr:rowOff>
    </xdr:from>
    <xdr:to>
      <xdr:col>3</xdr:col>
      <xdr:colOff>759238</xdr:colOff>
      <xdr:row>25</xdr:row>
      <xdr:rowOff>131933</xdr:rowOff>
    </xdr:to>
    <xdr:pic>
      <xdr:nvPicPr>
        <xdr:cNvPr id="2" name="Grafik 1" descr="D:\Dokumente INFIS\Buchprojekte\Tarot\Baum mit Pfaden.bmp">
          <a:extLst>
            <a:ext uri="{FF2B5EF4-FFF2-40B4-BE49-F238E27FC236}">
              <a16:creationId xmlns:a16="http://schemas.microsoft.com/office/drawing/2014/main" id="{89F4FB53-0A73-40B4-86EF-0BA9F95879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6383" y="241301"/>
          <a:ext cx="2974105" cy="5554832"/>
        </a:xfrm>
        <a:prstGeom prst="rect">
          <a:avLst/>
        </a:prstGeom>
        <a:noFill/>
        <a:ln>
          <a:solidFill>
            <a:sysClr val="windowText" lastClr="000000"/>
          </a:solid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J97"/>
  <sheetViews>
    <sheetView zoomScale="90" zoomScaleNormal="90" workbookViewId="0">
      <selection activeCell="C68" sqref="C68"/>
    </sheetView>
  </sheetViews>
  <sheetFormatPr baseColWidth="10" defaultColWidth="11.5703125" defaultRowHeight="15" x14ac:dyDescent="0.25"/>
  <cols>
    <col min="1" max="1" width="33.7109375" style="7" customWidth="1"/>
    <col min="2" max="2" width="20.5703125" style="7" customWidth="1"/>
    <col min="3" max="3" width="38.5703125" style="7" customWidth="1"/>
    <col min="4" max="4" width="26.85546875" style="7" customWidth="1"/>
    <col min="5" max="5" width="24.7109375" style="7" customWidth="1"/>
    <col min="6" max="6" width="29.28515625" style="7" customWidth="1"/>
    <col min="7" max="7" width="28.28515625" style="7" customWidth="1"/>
    <col min="8" max="8" width="15.7109375" style="7" customWidth="1"/>
    <col min="9" max="9" width="39.5703125" style="7" customWidth="1"/>
    <col min="10" max="10" width="17.42578125" style="7" customWidth="1"/>
    <col min="11" max="16384" width="11.5703125" style="7"/>
  </cols>
  <sheetData>
    <row r="4" spans="1:7" ht="23.25" x14ac:dyDescent="0.35">
      <c r="A4" s="6" t="s">
        <v>0</v>
      </c>
      <c r="B4" s="6"/>
    </row>
    <row r="5" spans="1:7" x14ac:dyDescent="0.25">
      <c r="A5" s="8" t="s">
        <v>70</v>
      </c>
      <c r="B5" s="8"/>
    </row>
    <row r="6" spans="1:7" ht="21" x14ac:dyDescent="0.35">
      <c r="A6" s="9" t="s">
        <v>2</v>
      </c>
      <c r="B6" s="9"/>
    </row>
    <row r="7" spans="1:7" ht="18.75" x14ac:dyDescent="0.3">
      <c r="A7" s="10" t="s">
        <v>1</v>
      </c>
      <c r="B7" s="10"/>
      <c r="C7" s="11" t="s">
        <v>360</v>
      </c>
    </row>
    <row r="8" spans="1:7" ht="18.75" x14ac:dyDescent="0.3">
      <c r="A8" s="10" t="s">
        <v>5</v>
      </c>
      <c r="B8" s="10"/>
      <c r="C8" s="11">
        <v>0</v>
      </c>
      <c r="D8" s="12" t="s">
        <v>69</v>
      </c>
      <c r="E8" s="12"/>
      <c r="F8" s="12"/>
      <c r="G8" s="12"/>
    </row>
    <row r="9" spans="1:7" ht="18.75" x14ac:dyDescent="0.3">
      <c r="A9" s="13"/>
      <c r="B9" s="13"/>
      <c r="C9" s="14"/>
    </row>
    <row r="10" spans="1:7" ht="18.75" x14ac:dyDescent="0.3">
      <c r="A10" s="13"/>
      <c r="B10" s="13"/>
      <c r="C10" s="14"/>
    </row>
    <row r="11" spans="1:7" ht="21" x14ac:dyDescent="0.35">
      <c r="A11" s="9" t="s">
        <v>67</v>
      </c>
      <c r="B11" s="9"/>
      <c r="C11" s="14"/>
      <c r="D11" s="9" t="s">
        <v>7</v>
      </c>
      <c r="E11" s="9" t="s">
        <v>8</v>
      </c>
      <c r="F11" s="9" t="s">
        <v>3</v>
      </c>
    </row>
    <row r="12" spans="1:7" ht="18.75" x14ac:dyDescent="0.3">
      <c r="A12" s="10" t="s">
        <v>4</v>
      </c>
      <c r="B12" s="10"/>
      <c r="C12" s="11">
        <v>0</v>
      </c>
      <c r="D12" s="15" t="e">
        <f>+C12/$C$8*100</f>
        <v>#DIV/0!</v>
      </c>
      <c r="E12" s="16">
        <f>22/78*100</f>
        <v>28.205128205128204</v>
      </c>
      <c r="F12" s="10" t="e">
        <f>IF(D12&lt;E12,"zu wenig",IF(D12=E12,"exakt","zu viel"))</f>
        <v>#DIV/0!</v>
      </c>
      <c r="G12" s="17" t="str">
        <f>IF(C15&lt;&gt;C8,"Anzahl stimmt nicht!","-")</f>
        <v>-</v>
      </c>
    </row>
    <row r="13" spans="1:7" ht="18.75" x14ac:dyDescent="0.3">
      <c r="A13" s="1" t="s">
        <v>272</v>
      </c>
      <c r="B13" s="10"/>
      <c r="C13" s="11">
        <v>0</v>
      </c>
      <c r="D13" s="15" t="e">
        <f>+C13/$C$8*100</f>
        <v>#DIV/0!</v>
      </c>
      <c r="E13" s="16">
        <f>0.512820512820513*100</f>
        <v>51.282051282051299</v>
      </c>
      <c r="F13" s="10" t="e">
        <f t="shared" ref="F13:F14" si="0">IF(D13&lt;E13,"zu wenig",IF(D13=E13,"exakt","zu viel"))</f>
        <v>#DIV/0!</v>
      </c>
    </row>
    <row r="14" spans="1:7" ht="18.75" x14ac:dyDescent="0.3">
      <c r="A14" s="10" t="s">
        <v>6</v>
      </c>
      <c r="B14" s="10"/>
      <c r="C14" s="11">
        <v>0</v>
      </c>
      <c r="D14" s="15" t="e">
        <f>+C14/$C$8*100</f>
        <v>#DIV/0!</v>
      </c>
      <c r="E14" s="16">
        <f>0.205128205128205*100</f>
        <v>20.5128205128205</v>
      </c>
      <c r="F14" s="10" t="e">
        <f t="shared" si="0"/>
        <v>#DIV/0!</v>
      </c>
    </row>
    <row r="15" spans="1:7" ht="18.75" x14ac:dyDescent="0.3">
      <c r="A15" s="10" t="s">
        <v>62</v>
      </c>
      <c r="B15" s="10"/>
      <c r="C15" s="18">
        <f>SUM(C12:C14)</f>
        <v>0</v>
      </c>
      <c r="D15" s="10" t="e">
        <f>SUM(D12:D14)</f>
        <v>#DIV/0!</v>
      </c>
      <c r="E15" s="16">
        <f>SUM(E12:E14)</f>
        <v>100</v>
      </c>
      <c r="F15" s="10"/>
    </row>
    <row r="16" spans="1:7" ht="18.75" x14ac:dyDescent="0.3">
      <c r="A16" s="13"/>
      <c r="B16" s="13"/>
      <c r="C16" s="19"/>
      <c r="D16" s="19"/>
      <c r="E16" s="20"/>
      <c r="F16" s="10"/>
    </row>
    <row r="17" spans="1:9" ht="18.75" x14ac:dyDescent="0.3">
      <c r="A17" s="10" t="s">
        <v>63</v>
      </c>
      <c r="B17" s="53" t="s">
        <v>152</v>
      </c>
      <c r="C17" s="11">
        <v>0</v>
      </c>
      <c r="D17" s="15" t="e">
        <f>+C17/$C$8*100</f>
        <v>#DIV/0!</v>
      </c>
      <c r="E17" s="16">
        <v>25</v>
      </c>
      <c r="F17" s="10" t="e">
        <f>IF(D17&lt;E17,"zu wenig",IF(D17=E17,"exakt","zu viel"))</f>
        <v>#DIV/0!</v>
      </c>
      <c r="G17" s="19" t="s">
        <v>103</v>
      </c>
      <c r="H17" s="15" t="e">
        <f>+D17+D19</f>
        <v>#DIV/0!</v>
      </c>
      <c r="I17" s="102" t="s">
        <v>320</v>
      </c>
    </row>
    <row r="18" spans="1:9" ht="18.75" x14ac:dyDescent="0.3">
      <c r="A18" s="10" t="s">
        <v>64</v>
      </c>
      <c r="B18" s="55" t="s">
        <v>153</v>
      </c>
      <c r="C18" s="11">
        <v>0</v>
      </c>
      <c r="D18" s="15" t="e">
        <f t="shared" ref="D18:D20" si="1">+C18/$C$8*100</f>
        <v>#DIV/0!</v>
      </c>
      <c r="E18" s="16">
        <v>25</v>
      </c>
      <c r="F18" s="10" t="e">
        <f t="shared" ref="F18:F20" si="2">IF(D18&lt;E18,"zu wenig",IF(D18=E18,"exakt","zu viel"))</f>
        <v>#DIV/0!</v>
      </c>
      <c r="G18" s="19" t="s">
        <v>104</v>
      </c>
      <c r="H18" s="15" t="e">
        <f>+D18+D20</f>
        <v>#DIV/0!</v>
      </c>
      <c r="I18" s="102" t="s">
        <v>319</v>
      </c>
    </row>
    <row r="19" spans="1:9" ht="18.75" x14ac:dyDescent="0.3">
      <c r="A19" s="10" t="s">
        <v>65</v>
      </c>
      <c r="B19" s="56" t="s">
        <v>154</v>
      </c>
      <c r="C19" s="11">
        <v>0</v>
      </c>
      <c r="D19" s="15" t="e">
        <f t="shared" si="1"/>
        <v>#DIV/0!</v>
      </c>
      <c r="E19" s="16">
        <v>25</v>
      </c>
      <c r="F19" s="10" t="e">
        <f t="shared" si="2"/>
        <v>#DIV/0!</v>
      </c>
      <c r="H19" s="10" t="e">
        <f>SUM(H17:H18)</f>
        <v>#DIV/0!</v>
      </c>
    </row>
    <row r="20" spans="1:9" ht="18.75" x14ac:dyDescent="0.3">
      <c r="A20" s="10" t="s">
        <v>66</v>
      </c>
      <c r="B20" s="54" t="s">
        <v>155</v>
      </c>
      <c r="C20" s="11">
        <v>0</v>
      </c>
      <c r="D20" s="15" t="e">
        <f t="shared" si="1"/>
        <v>#DIV/0!</v>
      </c>
      <c r="E20" s="16">
        <v>25</v>
      </c>
      <c r="F20" s="10" t="e">
        <f t="shared" si="2"/>
        <v>#DIV/0!</v>
      </c>
      <c r="G20" s="17" t="str">
        <f>IF(C21&lt;&gt;C8,"Anzahl stimmt nicht!","-")</f>
        <v>-</v>
      </c>
    </row>
    <row r="21" spans="1:9" ht="18.75" x14ac:dyDescent="0.3">
      <c r="A21" s="1" t="s">
        <v>277</v>
      </c>
      <c r="B21" s="10"/>
      <c r="C21" s="18">
        <f>SUM(C17:C20)</f>
        <v>0</v>
      </c>
      <c r="D21" s="10" t="e">
        <f>SUM(D17:D20)</f>
        <v>#DIV/0!</v>
      </c>
      <c r="E21" s="16">
        <f>SUM(E17:E20)</f>
        <v>100</v>
      </c>
      <c r="F21" s="10"/>
    </row>
    <row r="22" spans="1:9" ht="18.75" x14ac:dyDescent="0.3">
      <c r="A22" s="13"/>
      <c r="B22" s="13"/>
      <c r="C22" s="19"/>
      <c r="D22" s="10"/>
      <c r="F22" s="10"/>
    </row>
    <row r="23" spans="1:9" ht="21.75" thickBot="1" x14ac:dyDescent="0.4">
      <c r="A23" s="2" t="s">
        <v>175</v>
      </c>
      <c r="B23" s="9"/>
      <c r="C23" s="9" t="s">
        <v>67</v>
      </c>
      <c r="D23" s="21" t="s">
        <v>96</v>
      </c>
      <c r="E23" s="22"/>
      <c r="F23" s="9" t="s">
        <v>68</v>
      </c>
    </row>
    <row r="24" spans="1:9" ht="19.5" thickBot="1" x14ac:dyDescent="0.35">
      <c r="A24" s="86" t="s">
        <v>340</v>
      </c>
      <c r="B24" s="87" t="s">
        <v>152</v>
      </c>
      <c r="C24" s="88">
        <v>0</v>
      </c>
      <c r="D24" s="10">
        <f>+C24*1</f>
        <v>0</v>
      </c>
      <c r="E24" s="23"/>
      <c r="F24" s="24" t="str">
        <f>IF($C24&gt;0,"1 Kether","-")</f>
        <v>-</v>
      </c>
      <c r="G24" s="23"/>
      <c r="I24" s="106" t="str">
        <f>IF(C24&gt;2,"Achtung: Grosse Betonung!","-")</f>
        <v>-</v>
      </c>
    </row>
    <row r="25" spans="1:9" ht="18.75" x14ac:dyDescent="0.3">
      <c r="A25" s="89" t="s">
        <v>341</v>
      </c>
      <c r="B25" s="90" t="s">
        <v>152</v>
      </c>
      <c r="C25" s="91">
        <v>0</v>
      </c>
      <c r="D25" s="10">
        <f>+C25*2</f>
        <v>0</v>
      </c>
      <c r="E25" s="25" t="str">
        <f>IF($C$26&gt;0,"3 Binah","-")</f>
        <v>-</v>
      </c>
      <c r="F25" s="23"/>
      <c r="G25" s="26" t="str">
        <f>IF($C$25&gt;0,"2 Chokhmah","-")</f>
        <v>-</v>
      </c>
      <c r="I25" s="106" t="str">
        <f t="shared" ref="I25:I33" si="3">IF(C25&gt;2,"Achtung: Grosse Betonung!","-")</f>
        <v>-</v>
      </c>
    </row>
    <row r="26" spans="1:9" ht="18.75" x14ac:dyDescent="0.3">
      <c r="A26" s="92" t="s">
        <v>342</v>
      </c>
      <c r="B26" s="53" t="s">
        <v>152</v>
      </c>
      <c r="C26" s="93">
        <v>0</v>
      </c>
      <c r="D26" s="10">
        <f>+C26*3</f>
        <v>0</v>
      </c>
      <c r="E26" s="27" t="str">
        <f>IF($C$28&gt;0,"5 Geburah","-")</f>
        <v>-</v>
      </c>
      <c r="F26" s="23"/>
      <c r="G26" s="28" t="str">
        <f>IF($C$27&gt;0,"4 Chesed","-")</f>
        <v>-</v>
      </c>
      <c r="I26" s="106" t="str">
        <f t="shared" si="3"/>
        <v>-</v>
      </c>
    </row>
    <row r="27" spans="1:9" ht="19.5" thickBot="1" x14ac:dyDescent="0.35">
      <c r="A27" s="94" t="s">
        <v>343</v>
      </c>
      <c r="B27" s="99" t="s">
        <v>153</v>
      </c>
      <c r="C27" s="95">
        <v>0</v>
      </c>
      <c r="D27" s="10">
        <f>+C27*4</f>
        <v>0</v>
      </c>
      <c r="E27" s="23"/>
      <c r="F27" s="29" t="str">
        <f>IF($C$29&gt;0,"6 Tipharet","-")</f>
        <v>-</v>
      </c>
      <c r="G27" s="23"/>
      <c r="I27" s="106" t="str">
        <f t="shared" si="3"/>
        <v>-</v>
      </c>
    </row>
    <row r="28" spans="1:9" ht="18.75" x14ac:dyDescent="0.3">
      <c r="A28" s="89" t="s">
        <v>344</v>
      </c>
      <c r="B28" s="100" t="s">
        <v>153</v>
      </c>
      <c r="C28" s="91">
        <v>0</v>
      </c>
      <c r="D28" s="10">
        <f>+C28*5</f>
        <v>0</v>
      </c>
      <c r="E28" s="30" t="str">
        <f>IF($C$31&gt;0,"8 Hod","-")</f>
        <v>-</v>
      </c>
      <c r="F28" s="23"/>
      <c r="G28" s="31" t="str">
        <f>IF($C$30&gt;0,"7 Nezach","-")</f>
        <v>-</v>
      </c>
      <c r="I28" s="106" t="str">
        <f t="shared" si="3"/>
        <v>-</v>
      </c>
    </row>
    <row r="29" spans="1:9" ht="18.75" x14ac:dyDescent="0.3">
      <c r="A29" s="92" t="s">
        <v>345</v>
      </c>
      <c r="B29" s="55" t="s">
        <v>153</v>
      </c>
      <c r="C29" s="93">
        <v>0</v>
      </c>
      <c r="D29" s="10">
        <f>+C29*6</f>
        <v>0</v>
      </c>
      <c r="E29" s="23"/>
      <c r="F29" s="32" t="str">
        <f>IF($C$32&gt;0,"9 Jesod","-")</f>
        <v>-</v>
      </c>
      <c r="G29" s="23"/>
      <c r="I29" s="106" t="str">
        <f t="shared" si="3"/>
        <v>-</v>
      </c>
    </row>
    <row r="30" spans="1:9" ht="19.5" thickBot="1" x14ac:dyDescent="0.35">
      <c r="A30" s="94" t="s">
        <v>346</v>
      </c>
      <c r="B30" s="96" t="s">
        <v>154</v>
      </c>
      <c r="C30" s="95">
        <v>0</v>
      </c>
      <c r="D30" s="10">
        <f>+C30*7</f>
        <v>0</v>
      </c>
      <c r="E30" s="23"/>
      <c r="F30" s="101" t="str">
        <f>IF($C$33&gt;0,"10 Malkhut","-")</f>
        <v>-</v>
      </c>
      <c r="G30" s="23"/>
      <c r="I30" s="106" t="str">
        <f t="shared" si="3"/>
        <v>-</v>
      </c>
    </row>
    <row r="31" spans="1:9" ht="18.75" x14ac:dyDescent="0.3">
      <c r="A31" s="89" t="s">
        <v>347</v>
      </c>
      <c r="B31" s="97" t="s">
        <v>154</v>
      </c>
      <c r="C31" s="91">
        <v>0</v>
      </c>
      <c r="D31" s="10">
        <f>+C31*8</f>
        <v>0</v>
      </c>
      <c r="E31" s="10"/>
      <c r="F31" s="10"/>
      <c r="G31" s="10"/>
      <c r="I31" s="106" t="str">
        <f t="shared" si="3"/>
        <v>-</v>
      </c>
    </row>
    <row r="32" spans="1:9" ht="18.75" x14ac:dyDescent="0.3">
      <c r="A32" s="92" t="s">
        <v>348</v>
      </c>
      <c r="B32" s="56" t="s">
        <v>154</v>
      </c>
      <c r="C32" s="93">
        <v>0</v>
      </c>
      <c r="D32" s="10">
        <f>+C32*9</f>
        <v>0</v>
      </c>
      <c r="E32" s="10"/>
      <c r="F32" s="10"/>
      <c r="G32" s="10"/>
      <c r="I32" s="106" t="str">
        <f t="shared" si="3"/>
        <v>-</v>
      </c>
    </row>
    <row r="33" spans="1:10" ht="19.5" thickBot="1" x14ac:dyDescent="0.35">
      <c r="A33" s="94" t="s">
        <v>349</v>
      </c>
      <c r="B33" s="98" t="s">
        <v>155</v>
      </c>
      <c r="C33" s="95">
        <v>0</v>
      </c>
      <c r="D33" s="10">
        <f>+C33*10</f>
        <v>0</v>
      </c>
      <c r="E33" s="10"/>
      <c r="F33" s="10"/>
      <c r="G33" s="10"/>
      <c r="I33" s="106" t="str">
        <f t="shared" si="3"/>
        <v>-</v>
      </c>
    </row>
    <row r="34" spans="1:10" ht="18.75" x14ac:dyDescent="0.3">
      <c r="A34" s="1" t="s">
        <v>279</v>
      </c>
      <c r="B34" s="10"/>
      <c r="C34" s="18">
        <f>SUM(C24:C33)</f>
        <v>0</v>
      </c>
      <c r="D34" s="33">
        <f>SUM(D24:D33)</f>
        <v>0</v>
      </c>
      <c r="E34" s="17" t="str">
        <f>IF(C34&lt;&gt;C13,"Anzahl stimmt nicht!","-")</f>
        <v>-</v>
      </c>
    </row>
    <row r="36" spans="1:10" ht="21.75" thickBot="1" x14ac:dyDescent="0.4">
      <c r="A36" s="9" t="s">
        <v>71</v>
      </c>
      <c r="B36" s="9" t="s">
        <v>106</v>
      </c>
      <c r="C36" s="9" t="s">
        <v>67</v>
      </c>
      <c r="D36" s="9" t="s">
        <v>93</v>
      </c>
      <c r="E36" s="9" t="s">
        <v>94</v>
      </c>
      <c r="F36" s="9" t="s">
        <v>96</v>
      </c>
      <c r="G36" s="9" t="s">
        <v>107</v>
      </c>
      <c r="H36" s="9" t="s">
        <v>107</v>
      </c>
      <c r="I36" s="2" t="s">
        <v>351</v>
      </c>
    </row>
    <row r="37" spans="1:10" ht="18.75" x14ac:dyDescent="0.3">
      <c r="A37" s="72" t="s">
        <v>72</v>
      </c>
      <c r="B37" s="57">
        <v>12</v>
      </c>
      <c r="C37" s="58">
        <v>0</v>
      </c>
      <c r="D37" s="57" t="s">
        <v>72</v>
      </c>
      <c r="E37" s="59" t="s">
        <v>273</v>
      </c>
      <c r="F37" s="57">
        <f>IF(C37&gt;0,1,0)</f>
        <v>0</v>
      </c>
      <c r="G37" s="60" t="s">
        <v>108</v>
      </c>
      <c r="H37" s="61" t="s">
        <v>130</v>
      </c>
      <c r="I37" s="62" t="s">
        <v>350</v>
      </c>
      <c r="J37" s="1">
        <f>IF(C37=1,1,0)</f>
        <v>0</v>
      </c>
    </row>
    <row r="38" spans="1:10" ht="18.75" x14ac:dyDescent="0.3">
      <c r="A38" s="73" t="s">
        <v>73</v>
      </c>
      <c r="B38" s="10">
        <v>13</v>
      </c>
      <c r="C38" s="11">
        <v>0</v>
      </c>
      <c r="D38" s="63" t="s">
        <v>73</v>
      </c>
      <c r="E38" s="1" t="s">
        <v>274</v>
      </c>
      <c r="F38" s="10">
        <f>IF(C38&gt;0,2,0)</f>
        <v>0</v>
      </c>
      <c r="G38" s="34" t="s">
        <v>109</v>
      </c>
      <c r="H38" s="35" t="s">
        <v>131</v>
      </c>
      <c r="I38" s="64" t="s">
        <v>350</v>
      </c>
      <c r="J38" s="1">
        <f t="shared" ref="J38:J58" si="4">IF(C38=1,1,0)</f>
        <v>0</v>
      </c>
    </row>
    <row r="39" spans="1:10" ht="18.75" x14ac:dyDescent="0.3">
      <c r="A39" s="73" t="s">
        <v>74</v>
      </c>
      <c r="B39" s="10">
        <v>14</v>
      </c>
      <c r="C39" s="11">
        <v>0</v>
      </c>
      <c r="D39" s="63" t="s">
        <v>74</v>
      </c>
      <c r="E39" s="1" t="s">
        <v>275</v>
      </c>
      <c r="F39" s="10">
        <f>IF(C39&gt;0,3,0)</f>
        <v>0</v>
      </c>
      <c r="G39" s="34" t="s">
        <v>110</v>
      </c>
      <c r="H39" s="35" t="s">
        <v>132</v>
      </c>
      <c r="I39" s="64" t="s">
        <v>350</v>
      </c>
      <c r="J39" s="1">
        <f t="shared" si="4"/>
        <v>0</v>
      </c>
    </row>
    <row r="40" spans="1:10" ht="18.75" x14ac:dyDescent="0.3">
      <c r="A40" s="73" t="s">
        <v>75</v>
      </c>
      <c r="B40" s="10">
        <v>15</v>
      </c>
      <c r="C40" s="11">
        <v>0</v>
      </c>
      <c r="D40" s="63" t="s">
        <v>75</v>
      </c>
      <c r="E40" s="1" t="s">
        <v>273</v>
      </c>
      <c r="F40" s="10">
        <f>IF(C40&gt;0,4,0)</f>
        <v>0</v>
      </c>
      <c r="G40" s="34" t="s">
        <v>111</v>
      </c>
      <c r="H40" s="35" t="s">
        <v>133</v>
      </c>
      <c r="I40" s="64" t="s">
        <v>350</v>
      </c>
      <c r="J40" s="1">
        <f t="shared" si="4"/>
        <v>0</v>
      </c>
    </row>
    <row r="41" spans="1:10" ht="18.75" x14ac:dyDescent="0.3">
      <c r="A41" s="73" t="s">
        <v>76</v>
      </c>
      <c r="B41" s="10">
        <v>16</v>
      </c>
      <c r="C41" s="11">
        <v>0</v>
      </c>
      <c r="D41" s="63" t="s">
        <v>76</v>
      </c>
      <c r="E41" s="1" t="s">
        <v>274</v>
      </c>
      <c r="F41" s="10">
        <f>IF(C41&gt;0,5,0)</f>
        <v>0</v>
      </c>
      <c r="G41" s="34" t="s">
        <v>112</v>
      </c>
      <c r="H41" s="35" t="s">
        <v>134</v>
      </c>
      <c r="I41" s="64" t="s">
        <v>350</v>
      </c>
      <c r="J41" s="1">
        <f t="shared" si="4"/>
        <v>0</v>
      </c>
    </row>
    <row r="42" spans="1:10" ht="18.75" x14ac:dyDescent="0.3">
      <c r="A42" s="73" t="s">
        <v>77</v>
      </c>
      <c r="B42" s="10">
        <v>17</v>
      </c>
      <c r="C42" s="11">
        <v>0</v>
      </c>
      <c r="D42" s="63" t="s">
        <v>77</v>
      </c>
      <c r="E42" s="1" t="s">
        <v>275</v>
      </c>
      <c r="F42" s="10">
        <f>IF(C42&gt;0,6,0)</f>
        <v>0</v>
      </c>
      <c r="G42" s="34" t="s">
        <v>113</v>
      </c>
      <c r="H42" s="35" t="s">
        <v>135</v>
      </c>
      <c r="I42" s="64" t="s">
        <v>350</v>
      </c>
      <c r="J42" s="1">
        <f t="shared" si="4"/>
        <v>0</v>
      </c>
    </row>
    <row r="43" spans="1:10" ht="19.5" thickBot="1" x14ac:dyDescent="0.35">
      <c r="A43" s="73" t="s">
        <v>78</v>
      </c>
      <c r="B43" s="10">
        <v>18</v>
      </c>
      <c r="C43" s="75">
        <v>0</v>
      </c>
      <c r="D43" s="63" t="s">
        <v>78</v>
      </c>
      <c r="E43" s="1" t="s">
        <v>273</v>
      </c>
      <c r="F43" s="10">
        <f>IF(C43&gt;0,7,0)</f>
        <v>0</v>
      </c>
      <c r="G43" s="34" t="s">
        <v>114</v>
      </c>
      <c r="H43" s="35" t="s">
        <v>136</v>
      </c>
      <c r="I43" s="64" t="s">
        <v>350</v>
      </c>
      <c r="J43" s="1">
        <f t="shared" si="4"/>
        <v>0</v>
      </c>
    </row>
    <row r="44" spans="1:10" ht="18.75" x14ac:dyDescent="0.3">
      <c r="A44" s="72" t="s">
        <v>79</v>
      </c>
      <c r="B44" s="57">
        <v>19</v>
      </c>
      <c r="C44" s="58">
        <v>0</v>
      </c>
      <c r="D44" s="76" t="s">
        <v>79</v>
      </c>
      <c r="E44" s="59" t="s">
        <v>274</v>
      </c>
      <c r="F44" s="57">
        <f>IF(C44&gt;0,8,0)</f>
        <v>0</v>
      </c>
      <c r="G44" s="60" t="s">
        <v>115</v>
      </c>
      <c r="H44" s="61" t="s">
        <v>137</v>
      </c>
      <c r="I44" s="62" t="s">
        <v>352</v>
      </c>
      <c r="J44" s="1">
        <f t="shared" si="4"/>
        <v>0</v>
      </c>
    </row>
    <row r="45" spans="1:10" ht="18.75" x14ac:dyDescent="0.3">
      <c r="A45" s="73" t="s">
        <v>80</v>
      </c>
      <c r="B45" s="10">
        <v>20</v>
      </c>
      <c r="C45" s="11">
        <v>0</v>
      </c>
      <c r="D45" s="63" t="s">
        <v>80</v>
      </c>
      <c r="E45" s="1" t="s">
        <v>275</v>
      </c>
      <c r="F45" s="10">
        <f>IF(C45&gt;0,9,0)</f>
        <v>0</v>
      </c>
      <c r="G45" s="34" t="s">
        <v>116</v>
      </c>
      <c r="H45" s="35" t="s">
        <v>138</v>
      </c>
      <c r="I45" s="64" t="s">
        <v>352</v>
      </c>
      <c r="J45" s="1">
        <f t="shared" si="4"/>
        <v>0</v>
      </c>
    </row>
    <row r="46" spans="1:10" ht="18.75" x14ac:dyDescent="0.3">
      <c r="A46" s="73" t="s">
        <v>81</v>
      </c>
      <c r="B46" s="10">
        <v>21</v>
      </c>
      <c r="C46" s="11">
        <v>0</v>
      </c>
      <c r="D46" s="10" t="s">
        <v>72</v>
      </c>
      <c r="E46" s="1" t="s">
        <v>273</v>
      </c>
      <c r="F46" s="10">
        <f>IF(C46&gt;0,10,0)</f>
        <v>0</v>
      </c>
      <c r="G46" s="34" t="s">
        <v>117</v>
      </c>
      <c r="H46" s="35" t="s">
        <v>139</v>
      </c>
      <c r="I46" s="64" t="s">
        <v>352</v>
      </c>
      <c r="J46" s="1">
        <f t="shared" si="4"/>
        <v>0</v>
      </c>
    </row>
    <row r="47" spans="1:10" ht="18.75" x14ac:dyDescent="0.3">
      <c r="A47" s="73" t="s">
        <v>82</v>
      </c>
      <c r="B47" s="10">
        <v>22</v>
      </c>
      <c r="C47" s="11">
        <v>0</v>
      </c>
      <c r="D47" s="63" t="s">
        <v>73</v>
      </c>
      <c r="E47" s="1" t="s">
        <v>274</v>
      </c>
      <c r="F47" s="10">
        <f>IF(C47&gt;0,11,0)</f>
        <v>0</v>
      </c>
      <c r="G47" s="34" t="s">
        <v>118</v>
      </c>
      <c r="H47" s="35" t="s">
        <v>140</v>
      </c>
      <c r="I47" s="64" t="s">
        <v>352</v>
      </c>
      <c r="J47" s="1">
        <f t="shared" si="4"/>
        <v>0</v>
      </c>
    </row>
    <row r="48" spans="1:10" ht="18.75" x14ac:dyDescent="0.3">
      <c r="A48" s="73" t="s">
        <v>83</v>
      </c>
      <c r="B48" s="10">
        <v>23</v>
      </c>
      <c r="C48" s="11">
        <v>0</v>
      </c>
      <c r="D48" s="63" t="s">
        <v>74</v>
      </c>
      <c r="E48" s="1" t="s">
        <v>275</v>
      </c>
      <c r="F48" s="10">
        <f>IF(C48&gt;0,12,0)</f>
        <v>0</v>
      </c>
      <c r="G48" s="34" t="s">
        <v>119</v>
      </c>
      <c r="H48" s="35" t="s">
        <v>141</v>
      </c>
      <c r="I48" s="64" t="s">
        <v>352</v>
      </c>
      <c r="J48" s="1">
        <f t="shared" si="4"/>
        <v>0</v>
      </c>
    </row>
    <row r="49" spans="1:10" ht="18.75" x14ac:dyDescent="0.3">
      <c r="A49" s="73" t="s">
        <v>84</v>
      </c>
      <c r="B49" s="10">
        <v>24</v>
      </c>
      <c r="C49" s="11">
        <v>0</v>
      </c>
      <c r="D49" s="63" t="s">
        <v>75</v>
      </c>
      <c r="E49" s="1" t="s">
        <v>273</v>
      </c>
      <c r="F49" s="10">
        <f>IF(C49&gt;0,13,0)</f>
        <v>0</v>
      </c>
      <c r="G49" s="34" t="s">
        <v>120</v>
      </c>
      <c r="H49" s="35" t="s">
        <v>142</v>
      </c>
      <c r="I49" s="64" t="s">
        <v>352</v>
      </c>
      <c r="J49" s="1">
        <f t="shared" si="4"/>
        <v>0</v>
      </c>
    </row>
    <row r="50" spans="1:10" ht="19.5" thickBot="1" x14ac:dyDescent="0.35">
      <c r="A50" s="74" t="s">
        <v>85</v>
      </c>
      <c r="B50" s="65">
        <v>25</v>
      </c>
      <c r="C50" s="66">
        <v>0</v>
      </c>
      <c r="D50" s="67" t="s">
        <v>76</v>
      </c>
      <c r="E50" s="68" t="s">
        <v>274</v>
      </c>
      <c r="F50" s="65">
        <f>IF(C50&gt;0,14,0)</f>
        <v>0</v>
      </c>
      <c r="G50" s="69" t="s">
        <v>121</v>
      </c>
      <c r="H50" s="70" t="s">
        <v>143</v>
      </c>
      <c r="I50" s="71" t="s">
        <v>352</v>
      </c>
      <c r="J50" s="1">
        <f t="shared" si="4"/>
        <v>0</v>
      </c>
    </row>
    <row r="51" spans="1:10" ht="18.75" x14ac:dyDescent="0.3">
      <c r="A51" s="72" t="s">
        <v>86</v>
      </c>
      <c r="B51" s="57">
        <v>26</v>
      </c>
      <c r="C51" s="58">
        <v>0</v>
      </c>
      <c r="D51" s="76" t="s">
        <v>77</v>
      </c>
      <c r="E51" s="59" t="s">
        <v>275</v>
      </c>
      <c r="F51" s="57">
        <f>IF(C51&gt;0,15,0)</f>
        <v>0</v>
      </c>
      <c r="G51" s="60" t="s">
        <v>122</v>
      </c>
      <c r="H51" s="61" t="s">
        <v>144</v>
      </c>
      <c r="I51" s="62" t="s">
        <v>353</v>
      </c>
      <c r="J51" s="1">
        <f t="shared" si="4"/>
        <v>0</v>
      </c>
    </row>
    <row r="52" spans="1:10" ht="18.75" x14ac:dyDescent="0.3">
      <c r="A52" s="73" t="s">
        <v>87</v>
      </c>
      <c r="B52" s="10">
        <v>27</v>
      </c>
      <c r="C52" s="11">
        <v>0</v>
      </c>
      <c r="D52" s="63" t="s">
        <v>78</v>
      </c>
      <c r="E52" s="1" t="s">
        <v>273</v>
      </c>
      <c r="F52" s="10">
        <f>IF(C52&gt;0,16,0)</f>
        <v>0</v>
      </c>
      <c r="G52" s="34" t="s">
        <v>123</v>
      </c>
      <c r="H52" s="35" t="s">
        <v>145</v>
      </c>
      <c r="I52" s="64" t="s">
        <v>353</v>
      </c>
      <c r="J52" s="1">
        <f t="shared" si="4"/>
        <v>0</v>
      </c>
    </row>
    <row r="53" spans="1:10" ht="18.75" x14ac:dyDescent="0.3">
      <c r="A53" s="73" t="s">
        <v>88</v>
      </c>
      <c r="B53" s="10">
        <v>28</v>
      </c>
      <c r="C53" s="11">
        <v>0</v>
      </c>
      <c r="D53" s="63" t="s">
        <v>79</v>
      </c>
      <c r="E53" s="1" t="s">
        <v>274</v>
      </c>
      <c r="F53" s="10">
        <f>IF(C53&gt;0,17,0)</f>
        <v>0</v>
      </c>
      <c r="G53" s="34" t="s">
        <v>124</v>
      </c>
      <c r="H53" s="35" t="s">
        <v>146</v>
      </c>
      <c r="I53" s="64" t="s">
        <v>353</v>
      </c>
      <c r="J53" s="1">
        <f t="shared" si="4"/>
        <v>0</v>
      </c>
    </row>
    <row r="54" spans="1:10" ht="18.75" x14ac:dyDescent="0.3">
      <c r="A54" s="73" t="s">
        <v>89</v>
      </c>
      <c r="B54" s="10">
        <v>29</v>
      </c>
      <c r="C54" s="11">
        <v>0</v>
      </c>
      <c r="D54" s="63" t="s">
        <v>80</v>
      </c>
      <c r="E54" s="1" t="s">
        <v>275</v>
      </c>
      <c r="F54" s="10">
        <f>IF(C54&gt;0,18,0)</f>
        <v>0</v>
      </c>
      <c r="G54" s="34" t="s">
        <v>125</v>
      </c>
      <c r="H54" s="35" t="s">
        <v>147</v>
      </c>
      <c r="I54" s="64" t="s">
        <v>353</v>
      </c>
      <c r="J54" s="1">
        <f t="shared" si="4"/>
        <v>0</v>
      </c>
    </row>
    <row r="55" spans="1:10" ht="18.75" x14ac:dyDescent="0.3">
      <c r="A55" s="73" t="s">
        <v>90</v>
      </c>
      <c r="B55" s="10">
        <v>30</v>
      </c>
      <c r="C55" s="11">
        <v>0</v>
      </c>
      <c r="D55" s="10" t="s">
        <v>72</v>
      </c>
      <c r="E55" s="1" t="s">
        <v>273</v>
      </c>
      <c r="F55" s="10">
        <f>IF(C55&gt;0,19,0)</f>
        <v>0</v>
      </c>
      <c r="G55" s="34" t="s">
        <v>126</v>
      </c>
      <c r="H55" s="35" t="s">
        <v>148</v>
      </c>
      <c r="I55" s="64" t="s">
        <v>353</v>
      </c>
      <c r="J55" s="1">
        <f t="shared" si="4"/>
        <v>0</v>
      </c>
    </row>
    <row r="56" spans="1:10" ht="18.75" x14ac:dyDescent="0.3">
      <c r="A56" s="73" t="s">
        <v>91</v>
      </c>
      <c r="B56" s="10">
        <v>31</v>
      </c>
      <c r="C56" s="11">
        <v>0</v>
      </c>
      <c r="D56" s="63" t="s">
        <v>73</v>
      </c>
      <c r="E56" s="1" t="s">
        <v>274</v>
      </c>
      <c r="F56" s="10">
        <f>IF(C56&gt;0,20,0)</f>
        <v>0</v>
      </c>
      <c r="G56" s="36" t="s">
        <v>127</v>
      </c>
      <c r="H56" s="35" t="s">
        <v>149</v>
      </c>
      <c r="I56" s="64" t="s">
        <v>353</v>
      </c>
      <c r="J56" s="1">
        <f t="shared" si="4"/>
        <v>0</v>
      </c>
    </row>
    <row r="57" spans="1:10" ht="19.5" thickBot="1" x14ac:dyDescent="0.35">
      <c r="A57" s="74" t="s">
        <v>92</v>
      </c>
      <c r="B57" s="65">
        <v>32</v>
      </c>
      <c r="C57" s="66">
        <v>0</v>
      </c>
      <c r="D57" s="67" t="s">
        <v>74</v>
      </c>
      <c r="E57" s="68" t="s">
        <v>275</v>
      </c>
      <c r="F57" s="65">
        <f>IF(C57&gt;0,21,0)</f>
        <v>0</v>
      </c>
      <c r="G57" s="77" t="s">
        <v>128</v>
      </c>
      <c r="H57" s="70" t="s">
        <v>151</v>
      </c>
      <c r="I57" s="71" t="s">
        <v>355</v>
      </c>
      <c r="J57" s="1">
        <f t="shared" si="4"/>
        <v>0</v>
      </c>
    </row>
    <row r="58" spans="1:10" ht="19.5" thickBot="1" x14ac:dyDescent="0.35">
      <c r="A58" s="78" t="s">
        <v>95</v>
      </c>
      <c r="B58" s="79">
        <v>11</v>
      </c>
      <c r="C58" s="80">
        <v>0</v>
      </c>
      <c r="D58" s="81" t="s">
        <v>75</v>
      </c>
      <c r="E58" s="82" t="s">
        <v>273</v>
      </c>
      <c r="F58" s="79">
        <f>IF(C58&gt;0,22,0)</f>
        <v>0</v>
      </c>
      <c r="G58" s="83" t="s">
        <v>129</v>
      </c>
      <c r="H58" s="84" t="s">
        <v>150</v>
      </c>
      <c r="I58" s="85" t="s">
        <v>354</v>
      </c>
      <c r="J58" s="1">
        <f t="shared" si="4"/>
        <v>0</v>
      </c>
    </row>
    <row r="59" spans="1:10" ht="18.75" x14ac:dyDescent="0.3">
      <c r="A59" s="3" t="s">
        <v>280</v>
      </c>
      <c r="C59" s="18">
        <f>SUM(C37:C58)</f>
        <v>0</v>
      </c>
      <c r="D59" s="17" t="str">
        <f>IF(C59&lt;&gt;C12,"Anzahl stimmt nicht!","-")</f>
        <v>-</v>
      </c>
      <c r="F59" s="10">
        <f>SUM(F37:F58)</f>
        <v>0</v>
      </c>
    </row>
    <row r="61" spans="1:10" ht="21" x14ac:dyDescent="0.35">
      <c r="A61" s="37" t="s">
        <v>97</v>
      </c>
      <c r="B61" s="37"/>
      <c r="C61" s="9" t="s">
        <v>67</v>
      </c>
      <c r="F61" s="9" t="s">
        <v>96</v>
      </c>
    </row>
    <row r="62" spans="1:10" ht="18.75" x14ac:dyDescent="0.3">
      <c r="A62" s="10" t="s">
        <v>98</v>
      </c>
      <c r="B62" s="53" t="s">
        <v>152</v>
      </c>
      <c r="C62" s="11">
        <v>0</v>
      </c>
      <c r="F62" s="10">
        <f>+C62*2</f>
        <v>0</v>
      </c>
      <c r="I62" s="106" t="str">
        <f>IF(C62&gt;2,"Achtung: Grosse Betonung!","-")</f>
        <v>-</v>
      </c>
    </row>
    <row r="63" spans="1:10" ht="18.75" x14ac:dyDescent="0.3">
      <c r="A63" s="1" t="s">
        <v>276</v>
      </c>
      <c r="B63" s="55" t="s">
        <v>153</v>
      </c>
      <c r="C63" s="11">
        <v>0</v>
      </c>
      <c r="F63" s="10">
        <f>+C63*3</f>
        <v>0</v>
      </c>
      <c r="I63" s="106" t="str">
        <f t="shared" ref="I63:I65" si="5">IF(C63&gt;2,"Achtung: Grosse Betonung!","-")</f>
        <v>-</v>
      </c>
    </row>
    <row r="64" spans="1:10" ht="18.75" x14ac:dyDescent="0.3">
      <c r="A64" s="10" t="s">
        <v>99</v>
      </c>
      <c r="B64" s="56" t="s">
        <v>154</v>
      </c>
      <c r="C64" s="11">
        <v>0</v>
      </c>
      <c r="F64" s="10">
        <f>+C64*6</f>
        <v>0</v>
      </c>
      <c r="I64" s="106" t="str">
        <f t="shared" si="5"/>
        <v>-</v>
      </c>
    </row>
    <row r="65" spans="1:9" ht="18.75" x14ac:dyDescent="0.3">
      <c r="A65" s="1" t="s">
        <v>278</v>
      </c>
      <c r="B65" s="54" t="s">
        <v>155</v>
      </c>
      <c r="C65" s="11">
        <v>0</v>
      </c>
      <c r="F65" s="10">
        <f>+C65*10</f>
        <v>0</v>
      </c>
      <c r="I65" s="106" t="str">
        <f t="shared" si="5"/>
        <v>-</v>
      </c>
    </row>
    <row r="66" spans="1:9" ht="18.75" x14ac:dyDescent="0.3">
      <c r="A66" s="1" t="s">
        <v>281</v>
      </c>
      <c r="C66" s="18">
        <f>SUM(C62:C65)</f>
        <v>0</v>
      </c>
      <c r="D66" s="17" t="str">
        <f>IF(C66&lt;&gt;C14,"Anzahl stimmt nicht!","-")</f>
        <v>-</v>
      </c>
      <c r="F66" s="10">
        <f>SUM(F62:F65)</f>
        <v>0</v>
      </c>
    </row>
    <row r="68" spans="1:9" ht="21" x14ac:dyDescent="0.35">
      <c r="A68" s="9" t="s">
        <v>102</v>
      </c>
      <c r="B68" s="9"/>
      <c r="C68" s="9" t="s">
        <v>101</v>
      </c>
      <c r="D68" s="9" t="s">
        <v>100</v>
      </c>
      <c r="E68" s="9" t="s">
        <v>71</v>
      </c>
      <c r="F68" s="9" t="s">
        <v>93</v>
      </c>
      <c r="G68" s="9" t="s">
        <v>94</v>
      </c>
    </row>
    <row r="69" spans="1:9" ht="18.75" x14ac:dyDescent="0.3">
      <c r="A69" s="10">
        <f>+D34+F59+F66</f>
        <v>0</v>
      </c>
      <c r="B69" s="10"/>
      <c r="C69" s="10">
        <f ca="1">SUMPRODUCT(MID(A69,ROW(INDIRECT("1:"&amp;LEN(A69))),1)*1)</f>
        <v>0</v>
      </c>
      <c r="D69" s="10">
        <f ca="1">IF(C69&gt;22,SUMPRODUCT(MID(C69,ROW(INDIRECT("1:"&amp;LEN(C69))),1)),C69)</f>
        <v>0</v>
      </c>
      <c r="E69" s="10" t="e">
        <f ca="1">VLOOKUP(D69,A76:E97,3,FALSE)</f>
        <v>#N/A</v>
      </c>
      <c r="F69" s="10" t="e">
        <f ca="1">VLOOKUP(D69,A76:E97,4,FALSE)</f>
        <v>#N/A</v>
      </c>
      <c r="G69" s="10" t="e">
        <f ca="1">VLOOKUP(D69,A76:E97,5,FALSE)</f>
        <v>#N/A</v>
      </c>
    </row>
    <row r="75" spans="1:9" ht="18.75" x14ac:dyDescent="0.3">
      <c r="A75" s="38" t="s">
        <v>10</v>
      </c>
      <c r="B75" s="38"/>
      <c r="C75" s="38" t="s">
        <v>105</v>
      </c>
      <c r="D75" s="38" t="s">
        <v>93</v>
      </c>
      <c r="E75" s="38" t="s">
        <v>94</v>
      </c>
    </row>
    <row r="76" spans="1:9" ht="18.75" x14ac:dyDescent="0.3">
      <c r="A76" s="33">
        <v>1</v>
      </c>
      <c r="B76" s="33"/>
      <c r="C76" s="39" t="s">
        <v>72</v>
      </c>
      <c r="D76" s="33" t="s">
        <v>72</v>
      </c>
      <c r="E76" s="1" t="s">
        <v>273</v>
      </c>
    </row>
    <row r="77" spans="1:9" ht="18.75" x14ac:dyDescent="0.3">
      <c r="A77" s="33">
        <v>2</v>
      </c>
      <c r="B77" s="33"/>
      <c r="C77" s="39" t="s">
        <v>73</v>
      </c>
      <c r="D77" s="39" t="s">
        <v>73</v>
      </c>
      <c r="E77" s="1" t="s">
        <v>274</v>
      </c>
    </row>
    <row r="78" spans="1:9" ht="18.75" x14ac:dyDescent="0.3">
      <c r="A78" s="33">
        <v>3</v>
      </c>
      <c r="B78" s="33"/>
      <c r="C78" s="39" t="s">
        <v>74</v>
      </c>
      <c r="D78" s="39" t="s">
        <v>74</v>
      </c>
      <c r="E78" s="1" t="s">
        <v>275</v>
      </c>
    </row>
    <row r="79" spans="1:9" ht="18.75" x14ac:dyDescent="0.3">
      <c r="A79" s="33">
        <v>4</v>
      </c>
      <c r="B79" s="33"/>
      <c r="C79" s="39" t="s">
        <v>75</v>
      </c>
      <c r="D79" s="39" t="s">
        <v>75</v>
      </c>
      <c r="E79" s="1" t="s">
        <v>273</v>
      </c>
    </row>
    <row r="80" spans="1:9" ht="18.75" x14ac:dyDescent="0.3">
      <c r="A80" s="33">
        <v>5</v>
      </c>
      <c r="B80" s="33"/>
      <c r="C80" s="39" t="s">
        <v>76</v>
      </c>
      <c r="D80" s="39" t="s">
        <v>76</v>
      </c>
      <c r="E80" s="1" t="s">
        <v>274</v>
      </c>
    </row>
    <row r="81" spans="1:5" ht="18.75" x14ac:dyDescent="0.3">
      <c r="A81" s="33">
        <v>6</v>
      </c>
      <c r="B81" s="33"/>
      <c r="C81" s="39" t="s">
        <v>77</v>
      </c>
      <c r="D81" s="39" t="s">
        <v>77</v>
      </c>
      <c r="E81" s="1" t="s">
        <v>275</v>
      </c>
    </row>
    <row r="82" spans="1:5" ht="18.75" x14ac:dyDescent="0.3">
      <c r="A82" s="33">
        <v>7</v>
      </c>
      <c r="B82" s="33"/>
      <c r="C82" s="39" t="s">
        <v>78</v>
      </c>
      <c r="D82" s="39" t="s">
        <v>78</v>
      </c>
      <c r="E82" s="1" t="s">
        <v>273</v>
      </c>
    </row>
    <row r="83" spans="1:5" ht="18.75" x14ac:dyDescent="0.3">
      <c r="A83" s="33">
        <v>8</v>
      </c>
      <c r="B83" s="33"/>
      <c r="C83" s="39" t="s">
        <v>79</v>
      </c>
      <c r="D83" s="39" t="s">
        <v>79</v>
      </c>
      <c r="E83" s="1" t="s">
        <v>274</v>
      </c>
    </row>
    <row r="84" spans="1:5" ht="18.75" x14ac:dyDescent="0.3">
      <c r="A84" s="33">
        <v>9</v>
      </c>
      <c r="B84" s="33"/>
      <c r="C84" s="39" t="s">
        <v>80</v>
      </c>
      <c r="D84" s="39" t="s">
        <v>80</v>
      </c>
      <c r="E84" s="1" t="s">
        <v>275</v>
      </c>
    </row>
    <row r="85" spans="1:5" ht="18.75" x14ac:dyDescent="0.3">
      <c r="A85" s="33">
        <v>10</v>
      </c>
      <c r="B85" s="33"/>
      <c r="C85" s="39" t="s">
        <v>81</v>
      </c>
      <c r="D85" s="33" t="s">
        <v>72</v>
      </c>
      <c r="E85" s="1" t="s">
        <v>273</v>
      </c>
    </row>
    <row r="86" spans="1:5" ht="18.75" x14ac:dyDescent="0.3">
      <c r="A86" s="33">
        <v>11</v>
      </c>
      <c r="B86" s="33"/>
      <c r="C86" s="39" t="s">
        <v>82</v>
      </c>
      <c r="D86" s="39" t="s">
        <v>73</v>
      </c>
      <c r="E86" s="1" t="s">
        <v>274</v>
      </c>
    </row>
    <row r="87" spans="1:5" ht="18.75" x14ac:dyDescent="0.3">
      <c r="A87" s="33">
        <v>12</v>
      </c>
      <c r="B87" s="33"/>
      <c r="C87" s="39" t="s">
        <v>83</v>
      </c>
      <c r="D87" s="39" t="s">
        <v>74</v>
      </c>
      <c r="E87" s="1" t="s">
        <v>275</v>
      </c>
    </row>
    <row r="88" spans="1:5" ht="18.75" x14ac:dyDescent="0.3">
      <c r="A88" s="33">
        <v>13</v>
      </c>
      <c r="B88" s="33"/>
      <c r="C88" s="39" t="s">
        <v>84</v>
      </c>
      <c r="D88" s="39" t="s">
        <v>75</v>
      </c>
      <c r="E88" s="1" t="s">
        <v>273</v>
      </c>
    </row>
    <row r="89" spans="1:5" ht="18.75" x14ac:dyDescent="0.3">
      <c r="A89" s="33">
        <v>14</v>
      </c>
      <c r="B89" s="33"/>
      <c r="C89" s="39" t="s">
        <v>85</v>
      </c>
      <c r="D89" s="39" t="s">
        <v>76</v>
      </c>
      <c r="E89" s="1" t="s">
        <v>274</v>
      </c>
    </row>
    <row r="90" spans="1:5" ht="18.75" x14ac:dyDescent="0.3">
      <c r="A90" s="33">
        <v>15</v>
      </c>
      <c r="B90" s="33"/>
      <c r="C90" s="39" t="s">
        <v>86</v>
      </c>
      <c r="D90" s="39" t="s">
        <v>77</v>
      </c>
      <c r="E90" s="1" t="s">
        <v>275</v>
      </c>
    </row>
    <row r="91" spans="1:5" ht="18.75" x14ac:dyDescent="0.3">
      <c r="A91" s="33">
        <v>16</v>
      </c>
      <c r="B91" s="33"/>
      <c r="C91" s="39" t="s">
        <v>87</v>
      </c>
      <c r="D91" s="39" t="s">
        <v>78</v>
      </c>
      <c r="E91" s="1" t="s">
        <v>273</v>
      </c>
    </row>
    <row r="92" spans="1:5" ht="18.75" x14ac:dyDescent="0.3">
      <c r="A92" s="33">
        <v>17</v>
      </c>
      <c r="B92" s="33"/>
      <c r="C92" s="39" t="s">
        <v>88</v>
      </c>
      <c r="D92" s="39" t="s">
        <v>79</v>
      </c>
      <c r="E92" s="1" t="s">
        <v>274</v>
      </c>
    </row>
    <row r="93" spans="1:5" ht="18.75" x14ac:dyDescent="0.3">
      <c r="A93" s="33">
        <v>18</v>
      </c>
      <c r="B93" s="33"/>
      <c r="C93" s="39" t="s">
        <v>89</v>
      </c>
      <c r="D93" s="39" t="s">
        <v>80</v>
      </c>
      <c r="E93" s="1" t="s">
        <v>275</v>
      </c>
    </row>
    <row r="94" spans="1:5" ht="18.75" x14ac:dyDescent="0.3">
      <c r="A94" s="33">
        <v>19</v>
      </c>
      <c r="B94" s="33"/>
      <c r="C94" s="39" t="s">
        <v>90</v>
      </c>
      <c r="D94" s="33" t="s">
        <v>72</v>
      </c>
      <c r="E94" s="1" t="s">
        <v>273</v>
      </c>
    </row>
    <row r="95" spans="1:5" ht="18.75" x14ac:dyDescent="0.3">
      <c r="A95" s="33">
        <v>20</v>
      </c>
      <c r="B95" s="33"/>
      <c r="C95" s="39" t="s">
        <v>91</v>
      </c>
      <c r="D95" s="39" t="s">
        <v>73</v>
      </c>
      <c r="E95" s="1" t="s">
        <v>274</v>
      </c>
    </row>
    <row r="96" spans="1:5" ht="18.75" x14ac:dyDescent="0.3">
      <c r="A96" s="33">
        <v>21</v>
      </c>
      <c r="B96" s="33"/>
      <c r="C96" s="39" t="s">
        <v>92</v>
      </c>
      <c r="D96" s="39" t="s">
        <v>74</v>
      </c>
      <c r="E96" s="1" t="s">
        <v>275</v>
      </c>
    </row>
    <row r="97" spans="1:5" ht="18.75" x14ac:dyDescent="0.3">
      <c r="A97" s="33">
        <v>22</v>
      </c>
      <c r="B97" s="33"/>
      <c r="C97" s="39" t="s">
        <v>95</v>
      </c>
      <c r="D97" s="39" t="s">
        <v>75</v>
      </c>
      <c r="E97" s="1" t="s">
        <v>273</v>
      </c>
    </row>
  </sheetData>
  <sheetProtection algorithmName="SHA-512" hashValue="j178vqbP97AQcm7IvnKH4xN2+NQoXkp2bauX+4Kqd6D4a4wwCJX90pB4G3wNl8AhTXsIjGFGxHhFMfz2ZWkdFg==" saltValue="Mqrl+tbaLqWYSDxKU6qhvg==" spinCount="100000" sheet="1" objects="1" scenarios="1"/>
  <conditionalFormatting sqref="J37:J58">
    <cfRule type="cellIs" dxfId="5" priority="1" operator="greaterThan">
      <formula>0</formula>
    </cfRule>
    <cfRule type="cellIs" dxfId="4" priority="2" operator="greaterThan">
      <formula>0</formula>
    </cfRule>
    <cfRule type="cellIs" dxfId="3" priority="3" operator="greaterThan">
      <formula>0</formula>
    </cfRule>
  </conditionalFormatting>
  <pageMargins left="0.7" right="0.7" top="0.78740157499999996" bottom="0.78740157499999996"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D30"/>
  <sheetViews>
    <sheetView workbookViewId="0">
      <selection activeCell="C16" sqref="C16"/>
    </sheetView>
  </sheetViews>
  <sheetFormatPr baseColWidth="10" defaultRowHeight="15" x14ac:dyDescent="0.25"/>
  <cols>
    <col min="2" max="2" width="32.28515625" customWidth="1"/>
    <col min="3" max="3" width="48.7109375" customWidth="1"/>
    <col min="4" max="4" width="33.140625" customWidth="1"/>
    <col min="5" max="5" width="33" customWidth="1"/>
  </cols>
  <sheetData>
    <row r="4" spans="1:4" ht="21" x14ac:dyDescent="0.35">
      <c r="A4" s="2" t="s">
        <v>10</v>
      </c>
      <c r="B4" s="2" t="s">
        <v>11</v>
      </c>
      <c r="C4" s="2" t="s">
        <v>12</v>
      </c>
      <c r="D4" s="2" t="s">
        <v>13</v>
      </c>
    </row>
    <row r="5" spans="1:4" ht="18.75" x14ac:dyDescent="0.3">
      <c r="A5" s="3" t="s">
        <v>9</v>
      </c>
      <c r="B5" s="1" t="s">
        <v>14</v>
      </c>
      <c r="C5" s="4" t="s">
        <v>36</v>
      </c>
      <c r="D5" s="1" t="s">
        <v>58</v>
      </c>
    </row>
    <row r="6" spans="1:4" ht="18.75" x14ac:dyDescent="0.3">
      <c r="A6" s="3">
        <v>1</v>
      </c>
      <c r="B6" s="1" t="s">
        <v>15</v>
      </c>
      <c r="C6" s="4" t="s">
        <v>37</v>
      </c>
      <c r="D6" s="1" t="s">
        <v>58</v>
      </c>
    </row>
    <row r="7" spans="1:4" ht="18.75" x14ac:dyDescent="0.3">
      <c r="A7" s="3">
        <v>2</v>
      </c>
      <c r="B7" s="1" t="s">
        <v>16</v>
      </c>
      <c r="C7" s="4" t="s">
        <v>38</v>
      </c>
      <c r="D7" s="1" t="s">
        <v>59</v>
      </c>
    </row>
    <row r="8" spans="1:4" ht="18.75" x14ac:dyDescent="0.3">
      <c r="A8" s="3">
        <v>3</v>
      </c>
      <c r="B8" s="1" t="s">
        <v>17</v>
      </c>
      <c r="C8" s="4" t="s">
        <v>39</v>
      </c>
      <c r="D8" s="1" t="s">
        <v>60</v>
      </c>
    </row>
    <row r="9" spans="1:4" ht="18.75" x14ac:dyDescent="0.3">
      <c r="A9" s="3">
        <v>4</v>
      </c>
      <c r="B9" s="1" t="s">
        <v>18</v>
      </c>
      <c r="C9" s="4" t="s">
        <v>40</v>
      </c>
      <c r="D9" s="1" t="s">
        <v>61</v>
      </c>
    </row>
    <row r="10" spans="1:4" ht="18.75" x14ac:dyDescent="0.3">
      <c r="A10" s="3">
        <v>5</v>
      </c>
      <c r="B10" s="1" t="s">
        <v>19</v>
      </c>
      <c r="C10" s="4" t="s">
        <v>41</v>
      </c>
      <c r="D10" s="1" t="s">
        <v>60</v>
      </c>
    </row>
    <row r="11" spans="1:4" ht="18.75" x14ac:dyDescent="0.3">
      <c r="A11" s="3">
        <v>6</v>
      </c>
      <c r="B11" s="1" t="s">
        <v>20</v>
      </c>
      <c r="C11" s="4" t="s">
        <v>42</v>
      </c>
      <c r="D11" s="1" t="s">
        <v>58</v>
      </c>
    </row>
    <row r="12" spans="1:4" ht="18.75" x14ac:dyDescent="0.3">
      <c r="A12" s="3">
        <v>7</v>
      </c>
      <c r="B12" s="1" t="s">
        <v>21</v>
      </c>
      <c r="C12" s="4" t="s">
        <v>43</v>
      </c>
      <c r="D12" s="1" t="s">
        <v>59</v>
      </c>
    </row>
    <row r="13" spans="1:4" ht="18.75" x14ac:dyDescent="0.3">
      <c r="A13" s="3">
        <v>8</v>
      </c>
      <c r="B13" s="1" t="s">
        <v>22</v>
      </c>
      <c r="C13" s="4" t="s">
        <v>44</v>
      </c>
      <c r="D13" s="1" t="s">
        <v>61</v>
      </c>
    </row>
    <row r="14" spans="1:4" ht="18.75" x14ac:dyDescent="0.3">
      <c r="A14" s="3">
        <v>9</v>
      </c>
      <c r="B14" s="1" t="s">
        <v>23</v>
      </c>
      <c r="C14" s="4" t="s">
        <v>45</v>
      </c>
      <c r="D14" s="1" t="s">
        <v>60</v>
      </c>
    </row>
    <row r="15" spans="1:4" ht="18.75" x14ac:dyDescent="0.3">
      <c r="A15" s="3">
        <v>10</v>
      </c>
      <c r="B15" s="1" t="s">
        <v>24</v>
      </c>
      <c r="C15" s="4" t="s">
        <v>46</v>
      </c>
      <c r="D15" s="1" t="s">
        <v>59</v>
      </c>
    </row>
    <row r="16" spans="1:4" ht="18.75" x14ac:dyDescent="0.3">
      <c r="A16" s="3">
        <v>11</v>
      </c>
      <c r="B16" s="1" t="s">
        <v>25</v>
      </c>
      <c r="C16" s="4" t="s">
        <v>47</v>
      </c>
      <c r="D16" s="1" t="s">
        <v>58</v>
      </c>
    </row>
    <row r="17" spans="1:4" ht="18.75" x14ac:dyDescent="0.3">
      <c r="A17" s="3">
        <v>12</v>
      </c>
      <c r="B17" s="1" t="s">
        <v>26</v>
      </c>
      <c r="C17" s="4" t="s">
        <v>48</v>
      </c>
      <c r="D17" s="1" t="s">
        <v>59</v>
      </c>
    </row>
    <row r="18" spans="1:4" ht="18.75" x14ac:dyDescent="0.3">
      <c r="A18" s="3">
        <v>13</v>
      </c>
      <c r="B18" s="1" t="s">
        <v>27</v>
      </c>
      <c r="C18" s="4" t="s">
        <v>49</v>
      </c>
      <c r="D18" s="1" t="s">
        <v>59</v>
      </c>
    </row>
    <row r="19" spans="1:4" ht="18.75" x14ac:dyDescent="0.3">
      <c r="A19" s="3">
        <v>14</v>
      </c>
      <c r="B19" s="1" t="s">
        <v>28</v>
      </c>
      <c r="C19" s="4" t="s">
        <v>50</v>
      </c>
      <c r="D19" s="1" t="s">
        <v>61</v>
      </c>
    </row>
    <row r="20" spans="1:4" ht="18.75" x14ac:dyDescent="0.3">
      <c r="A20" s="3">
        <v>15</v>
      </c>
      <c r="B20" s="1" t="s">
        <v>29</v>
      </c>
      <c r="C20" s="4" t="s">
        <v>51</v>
      </c>
      <c r="D20" s="1" t="s">
        <v>60</v>
      </c>
    </row>
    <row r="21" spans="1:4" ht="18.75" x14ac:dyDescent="0.3">
      <c r="A21" s="3">
        <v>16</v>
      </c>
      <c r="B21" s="1" t="s">
        <v>30</v>
      </c>
      <c r="C21" s="4" t="s">
        <v>52</v>
      </c>
      <c r="D21" s="1" t="s">
        <v>61</v>
      </c>
    </row>
    <row r="22" spans="1:4" ht="18.75" x14ac:dyDescent="0.3">
      <c r="A22" s="3">
        <v>17</v>
      </c>
      <c r="B22" s="1" t="s">
        <v>31</v>
      </c>
      <c r="C22" s="4" t="s">
        <v>53</v>
      </c>
      <c r="D22" s="1" t="s">
        <v>58</v>
      </c>
    </row>
    <row r="23" spans="1:4" ht="18.75" x14ac:dyDescent="0.3">
      <c r="A23" s="3">
        <v>18</v>
      </c>
      <c r="B23" s="1" t="s">
        <v>32</v>
      </c>
      <c r="C23" s="4" t="s">
        <v>54</v>
      </c>
      <c r="D23" s="1" t="s">
        <v>59</v>
      </c>
    </row>
    <row r="24" spans="1:4" ht="18.75" x14ac:dyDescent="0.3">
      <c r="A24" s="3">
        <v>19</v>
      </c>
      <c r="B24" s="1" t="s">
        <v>33</v>
      </c>
      <c r="C24" s="4" t="s">
        <v>55</v>
      </c>
      <c r="D24" s="1" t="s">
        <v>61</v>
      </c>
    </row>
    <row r="25" spans="1:4" ht="18.75" x14ac:dyDescent="0.3">
      <c r="A25" s="3">
        <v>20</v>
      </c>
      <c r="B25" s="1" t="s">
        <v>34</v>
      </c>
      <c r="C25" s="4" t="s">
        <v>56</v>
      </c>
      <c r="D25" s="1" t="s">
        <v>61</v>
      </c>
    </row>
    <row r="26" spans="1:4" ht="18.75" x14ac:dyDescent="0.3">
      <c r="A26" s="3">
        <v>21</v>
      </c>
      <c r="B26" s="1" t="s">
        <v>35</v>
      </c>
      <c r="C26" s="4" t="s">
        <v>57</v>
      </c>
      <c r="D26" s="1" t="s">
        <v>60</v>
      </c>
    </row>
    <row r="27" spans="1:4" ht="18.75" x14ac:dyDescent="0.25">
      <c r="C27" s="4"/>
    </row>
    <row r="28" spans="1:4" ht="18.75" x14ac:dyDescent="0.25">
      <c r="C28" s="4"/>
    </row>
    <row r="29" spans="1:4" ht="18.75" x14ac:dyDescent="0.25">
      <c r="C29" s="4"/>
    </row>
    <row r="30" spans="1:4" ht="18.75" x14ac:dyDescent="0.25">
      <c r="C30" s="4"/>
    </row>
  </sheetData>
  <sheetProtection algorithmName="SHA-512" hashValue="1zDTsNfH3iFH+xCAqY4mej+S3KDyvvVYjOZizEFFlecHxLoFBzvRPANLON/DMDg93dRna1zs9I9oI3ioE6eNRQ==" saltValue="hpKwsZabt2Fn4PieKdFOpw==" spinCount="100000" sheet="1" objects="1" scenarios="1"/>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E3:H26"/>
  <sheetViews>
    <sheetView zoomScale="120" zoomScaleNormal="120" workbookViewId="0">
      <selection activeCell="E3" sqref="E3:G25"/>
    </sheetView>
  </sheetViews>
  <sheetFormatPr baseColWidth="10" defaultRowHeight="15" x14ac:dyDescent="0.25"/>
  <cols>
    <col min="7" max="7" width="34.85546875" customWidth="1"/>
    <col min="8" max="8" width="33.7109375" customWidth="1"/>
    <col min="9" max="9" width="28.7109375" customWidth="1"/>
    <col min="10" max="10" width="28" customWidth="1"/>
  </cols>
  <sheetData>
    <row r="3" spans="5:8" ht="21" x14ac:dyDescent="0.35">
      <c r="E3" s="2" t="s">
        <v>106</v>
      </c>
      <c r="F3" s="5" t="s">
        <v>10</v>
      </c>
      <c r="G3" s="5" t="s">
        <v>105</v>
      </c>
      <c r="H3" s="103" t="s">
        <v>374</v>
      </c>
    </row>
    <row r="4" spans="5:8" ht="18.75" x14ac:dyDescent="0.3">
      <c r="E4" s="1">
        <v>11</v>
      </c>
      <c r="F4" s="1">
        <v>0</v>
      </c>
      <c r="G4" s="1" t="s">
        <v>14</v>
      </c>
      <c r="H4" s="1">
        <f>IF(Auswertung!J58=1,1,0)</f>
        <v>0</v>
      </c>
    </row>
    <row r="5" spans="5:8" ht="18.75" x14ac:dyDescent="0.3">
      <c r="E5" s="1">
        <v>12</v>
      </c>
      <c r="F5" s="1">
        <v>1</v>
      </c>
      <c r="G5" s="1" t="s">
        <v>15</v>
      </c>
      <c r="H5" s="1">
        <f>IF(Auswertung!J37=1,1,0)</f>
        <v>0</v>
      </c>
    </row>
    <row r="6" spans="5:8" ht="18.75" x14ac:dyDescent="0.3">
      <c r="E6" s="1">
        <v>13</v>
      </c>
      <c r="F6" s="1">
        <v>2</v>
      </c>
      <c r="G6" s="1" t="s">
        <v>16</v>
      </c>
      <c r="H6" s="1">
        <f>IF(Auswertung!J38=1,1,0)</f>
        <v>0</v>
      </c>
    </row>
    <row r="7" spans="5:8" ht="18.75" x14ac:dyDescent="0.3">
      <c r="E7" s="1">
        <v>14</v>
      </c>
      <c r="F7" s="1">
        <v>3</v>
      </c>
      <c r="G7" s="1" t="s">
        <v>17</v>
      </c>
      <c r="H7" s="1">
        <f>IF(Auswertung!J39=1,1,0)</f>
        <v>0</v>
      </c>
    </row>
    <row r="8" spans="5:8" ht="18.75" x14ac:dyDescent="0.3">
      <c r="E8" s="1">
        <v>15</v>
      </c>
      <c r="F8" s="1">
        <v>4</v>
      </c>
      <c r="G8" s="1" t="s">
        <v>18</v>
      </c>
      <c r="H8" s="1">
        <f>IF(Auswertung!J40=1,1,0)</f>
        <v>0</v>
      </c>
    </row>
    <row r="9" spans="5:8" ht="18.75" x14ac:dyDescent="0.3">
      <c r="E9" s="1">
        <v>16</v>
      </c>
      <c r="F9" s="1">
        <v>5</v>
      </c>
      <c r="G9" s="1" t="s">
        <v>19</v>
      </c>
      <c r="H9" s="1">
        <f>IF(Auswertung!J41=1,1,0)</f>
        <v>0</v>
      </c>
    </row>
    <row r="10" spans="5:8" ht="18.75" x14ac:dyDescent="0.3">
      <c r="E10" s="1">
        <v>17</v>
      </c>
      <c r="F10" s="1">
        <v>6</v>
      </c>
      <c r="G10" s="1" t="s">
        <v>20</v>
      </c>
      <c r="H10" s="1">
        <f>IF(Auswertung!J42=1,1,0)</f>
        <v>0</v>
      </c>
    </row>
    <row r="11" spans="5:8" ht="18.75" x14ac:dyDescent="0.3">
      <c r="E11" s="1">
        <v>18</v>
      </c>
      <c r="F11" s="1">
        <v>7</v>
      </c>
      <c r="G11" s="1" t="s">
        <v>21</v>
      </c>
      <c r="H11" s="1">
        <f>IF(Auswertung!J43=1,1,0)</f>
        <v>0</v>
      </c>
    </row>
    <row r="12" spans="5:8" ht="18.75" x14ac:dyDescent="0.3">
      <c r="E12" s="1">
        <v>19</v>
      </c>
      <c r="F12" s="1">
        <v>8</v>
      </c>
      <c r="G12" s="1" t="s">
        <v>22</v>
      </c>
      <c r="H12" s="1">
        <f>IF(Auswertung!J44=1,1,0)</f>
        <v>0</v>
      </c>
    </row>
    <row r="13" spans="5:8" ht="18.75" x14ac:dyDescent="0.3">
      <c r="E13" s="1">
        <v>20</v>
      </c>
      <c r="F13" s="1">
        <v>9</v>
      </c>
      <c r="G13" s="1" t="s">
        <v>23</v>
      </c>
      <c r="H13" s="1">
        <f>IF(Auswertung!J45=1,1,0)</f>
        <v>0</v>
      </c>
    </row>
    <row r="14" spans="5:8" ht="18.75" x14ac:dyDescent="0.3">
      <c r="E14" s="1">
        <v>21</v>
      </c>
      <c r="F14" s="1">
        <v>10</v>
      </c>
      <c r="G14" s="1" t="s">
        <v>24</v>
      </c>
      <c r="H14" s="1">
        <f>IF(Auswertung!J46=1,1,0)</f>
        <v>0</v>
      </c>
    </row>
    <row r="15" spans="5:8" ht="18.75" x14ac:dyDescent="0.3">
      <c r="E15" s="1">
        <v>22</v>
      </c>
      <c r="F15" s="1">
        <v>11</v>
      </c>
      <c r="G15" s="1" t="s">
        <v>25</v>
      </c>
      <c r="H15" s="1">
        <f>IF(Auswertung!J47=1,1,0)</f>
        <v>0</v>
      </c>
    </row>
    <row r="16" spans="5:8" ht="18.75" x14ac:dyDescent="0.3">
      <c r="E16" s="1">
        <v>23</v>
      </c>
      <c r="F16" s="1">
        <v>12</v>
      </c>
      <c r="G16" s="1" t="s">
        <v>26</v>
      </c>
      <c r="H16" s="1">
        <f>IF(Auswertung!J48=1,1,0)</f>
        <v>0</v>
      </c>
    </row>
    <row r="17" spans="5:8" ht="18.75" x14ac:dyDescent="0.3">
      <c r="E17" s="1">
        <v>24</v>
      </c>
      <c r="F17" s="1">
        <v>13</v>
      </c>
      <c r="G17" s="1" t="s">
        <v>27</v>
      </c>
      <c r="H17" s="1">
        <f>IF(Auswertung!J49=1,1,0)</f>
        <v>0</v>
      </c>
    </row>
    <row r="18" spans="5:8" ht="18.75" x14ac:dyDescent="0.3">
      <c r="E18" s="1">
        <v>25</v>
      </c>
      <c r="F18" s="1">
        <v>14</v>
      </c>
      <c r="G18" s="1" t="s">
        <v>28</v>
      </c>
      <c r="H18" s="1">
        <f>IF(Auswertung!J50=1,1,0)</f>
        <v>0</v>
      </c>
    </row>
    <row r="19" spans="5:8" ht="18.75" x14ac:dyDescent="0.3">
      <c r="E19" s="1">
        <v>26</v>
      </c>
      <c r="F19" s="1">
        <v>15</v>
      </c>
      <c r="G19" s="1" t="s">
        <v>29</v>
      </c>
      <c r="H19" s="1">
        <f>IF(Auswertung!J51=1,1,0)</f>
        <v>0</v>
      </c>
    </row>
    <row r="20" spans="5:8" ht="18.75" x14ac:dyDescent="0.3">
      <c r="E20" s="1">
        <v>27</v>
      </c>
      <c r="F20" s="1">
        <v>16</v>
      </c>
      <c r="G20" s="1" t="s">
        <v>30</v>
      </c>
      <c r="H20" s="1">
        <f>IF(Auswertung!J52=1,1,0)</f>
        <v>0</v>
      </c>
    </row>
    <row r="21" spans="5:8" ht="18.75" x14ac:dyDescent="0.3">
      <c r="E21" s="1">
        <v>28</v>
      </c>
      <c r="F21" s="1">
        <v>17</v>
      </c>
      <c r="G21" s="1" t="s">
        <v>31</v>
      </c>
      <c r="H21" s="1">
        <f>IF(Auswertung!J53=1,1,0)</f>
        <v>0</v>
      </c>
    </row>
    <row r="22" spans="5:8" ht="18.75" x14ac:dyDescent="0.3">
      <c r="E22" s="1">
        <v>29</v>
      </c>
      <c r="F22" s="1">
        <v>18</v>
      </c>
      <c r="G22" s="1" t="s">
        <v>32</v>
      </c>
      <c r="H22" s="1">
        <f>IF(Auswertung!J54=1,1,0)</f>
        <v>0</v>
      </c>
    </row>
    <row r="23" spans="5:8" ht="18.75" x14ac:dyDescent="0.3">
      <c r="E23" s="1">
        <v>30</v>
      </c>
      <c r="F23" s="1">
        <v>19</v>
      </c>
      <c r="G23" s="1" t="s">
        <v>33</v>
      </c>
      <c r="H23" s="1">
        <f>IF(Auswertung!J55=1,1,0)</f>
        <v>0</v>
      </c>
    </row>
    <row r="24" spans="5:8" ht="18.75" x14ac:dyDescent="0.3">
      <c r="E24" s="1">
        <v>31</v>
      </c>
      <c r="F24" s="1">
        <v>20</v>
      </c>
      <c r="G24" s="1" t="s">
        <v>34</v>
      </c>
      <c r="H24" s="1">
        <f>IF(Auswertung!J56=1,1,0)</f>
        <v>0</v>
      </c>
    </row>
    <row r="25" spans="5:8" ht="18.75" x14ac:dyDescent="0.3">
      <c r="E25" s="1">
        <v>32</v>
      </c>
      <c r="F25" s="1">
        <v>21</v>
      </c>
      <c r="G25" s="1" t="s">
        <v>35</v>
      </c>
      <c r="H25" s="1">
        <f>IF(Auswertung!J57=1,1,0)</f>
        <v>0</v>
      </c>
    </row>
    <row r="26" spans="5:8" ht="18.75" x14ac:dyDescent="0.3">
      <c r="H26" s="1"/>
    </row>
  </sheetData>
  <sheetProtection algorithmName="SHA-512" hashValue="jQwzkHJxWL3kRoJjM6WSLyhcSQTgevuVl06+NywXkHt3HAJwiGp44rf7FSk+bbO+BMXr2e6acIvaayUkKe3VBw==" saltValue="rBlP8X1301VBStrov69irg==" spinCount="100000" sheet="1" objects="1" scenarios="1"/>
  <conditionalFormatting sqref="H4:H25">
    <cfRule type="cellIs" dxfId="2" priority="1" operator="greaterThan">
      <formula>0</formula>
    </cfRule>
    <cfRule type="cellIs" dxfId="1" priority="4" operator="greaterThan">
      <formula>0</formula>
    </cfRule>
  </conditionalFormatting>
  <conditionalFormatting sqref="H7">
    <cfRule type="cellIs" dxfId="0" priority="3" operator="greaterThan">
      <formula>1</formula>
    </cfRule>
  </conditionalFormatting>
  <pageMargins left="0.7" right="0.7" top="0.78740157499999996" bottom="0.78740157499999996" header="0.3" footer="0.3"/>
  <pageSetup paperSize="9" orientation="portrait"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868A0-C6BD-446A-9206-30EB32E5298B}">
  <dimension ref="A3:E141"/>
  <sheetViews>
    <sheetView tabSelected="1" zoomScale="90" zoomScaleNormal="90" workbookViewId="0">
      <selection activeCell="A142" sqref="A142"/>
    </sheetView>
  </sheetViews>
  <sheetFormatPr baseColWidth="10" defaultColWidth="11.5703125" defaultRowHeight="15" x14ac:dyDescent="0.25"/>
  <cols>
    <col min="1" max="1" width="31.85546875" style="42" customWidth="1"/>
    <col min="2" max="2" width="16.85546875" style="42" customWidth="1"/>
    <col min="3" max="3" width="165.42578125" style="47" customWidth="1"/>
    <col min="4" max="4" width="234.85546875" style="47" customWidth="1"/>
    <col min="5" max="5" width="143.85546875" style="47" customWidth="1"/>
    <col min="6" max="16384" width="11.5703125" style="41"/>
  </cols>
  <sheetData>
    <row r="3" spans="1:5" ht="21" x14ac:dyDescent="0.35">
      <c r="A3" s="40" t="s">
        <v>156</v>
      </c>
      <c r="B3" s="2" t="s">
        <v>325</v>
      </c>
      <c r="C3" s="45" t="s">
        <v>158</v>
      </c>
      <c r="D3" s="45" t="s">
        <v>159</v>
      </c>
      <c r="E3" s="48" t="s">
        <v>321</v>
      </c>
    </row>
    <row r="4" spans="1:5" x14ac:dyDescent="0.25">
      <c r="A4" s="52" t="s">
        <v>334</v>
      </c>
    </row>
    <row r="5" spans="1:5" x14ac:dyDescent="0.25">
      <c r="A5" s="42" t="s">
        <v>157</v>
      </c>
      <c r="B5" s="43" t="s">
        <v>152</v>
      </c>
      <c r="C5" s="46" t="s">
        <v>322</v>
      </c>
      <c r="D5" s="46" t="s">
        <v>377</v>
      </c>
      <c r="E5" s="51" t="s">
        <v>356</v>
      </c>
    </row>
    <row r="6" spans="1:5" x14ac:dyDescent="0.25">
      <c r="A6" s="42" t="s">
        <v>160</v>
      </c>
      <c r="B6" s="43" t="s">
        <v>153</v>
      </c>
      <c r="C6" s="46" t="s">
        <v>378</v>
      </c>
      <c r="D6" s="46" t="s">
        <v>304</v>
      </c>
      <c r="E6" s="51" t="s">
        <v>357</v>
      </c>
    </row>
    <row r="7" spans="1:5" x14ac:dyDescent="0.25">
      <c r="A7" s="42" t="s">
        <v>161</v>
      </c>
      <c r="B7" s="43" t="s">
        <v>154</v>
      </c>
      <c r="C7" s="46" t="s">
        <v>323</v>
      </c>
      <c r="D7" s="46" t="s">
        <v>379</v>
      </c>
      <c r="E7" s="51" t="s">
        <v>358</v>
      </c>
    </row>
    <row r="8" spans="1:5" x14ac:dyDescent="0.25">
      <c r="A8" s="42" t="s">
        <v>162</v>
      </c>
      <c r="B8" s="43" t="s">
        <v>155</v>
      </c>
      <c r="C8" s="46" t="s">
        <v>324</v>
      </c>
      <c r="D8" s="46" t="s">
        <v>309</v>
      </c>
      <c r="E8" s="51" t="s">
        <v>359</v>
      </c>
    </row>
    <row r="10" spans="1:5" x14ac:dyDescent="0.25">
      <c r="A10" s="42" t="s">
        <v>163</v>
      </c>
      <c r="B10" s="43" t="s">
        <v>152</v>
      </c>
      <c r="C10" s="46" t="s">
        <v>303</v>
      </c>
      <c r="D10" s="46" t="s">
        <v>212</v>
      </c>
    </row>
    <row r="11" spans="1:5" x14ac:dyDescent="0.25">
      <c r="A11" s="42" t="s">
        <v>164</v>
      </c>
      <c r="B11" s="43" t="s">
        <v>153</v>
      </c>
      <c r="C11" s="46" t="s">
        <v>306</v>
      </c>
      <c r="D11" s="46" t="s">
        <v>305</v>
      </c>
    </row>
    <row r="12" spans="1:5" x14ac:dyDescent="0.25">
      <c r="A12" s="42" t="s">
        <v>165</v>
      </c>
      <c r="B12" s="43" t="s">
        <v>154</v>
      </c>
      <c r="C12" s="46" t="s">
        <v>307</v>
      </c>
      <c r="D12" s="46" t="s">
        <v>308</v>
      </c>
    </row>
    <row r="13" spans="1:5" x14ac:dyDescent="0.25">
      <c r="A13" s="42" t="s">
        <v>166</v>
      </c>
      <c r="B13" s="43" t="s">
        <v>155</v>
      </c>
      <c r="C13" s="46" t="s">
        <v>310</v>
      </c>
      <c r="D13" s="46" t="s">
        <v>311</v>
      </c>
    </row>
    <row r="14" spans="1:5" x14ac:dyDescent="0.25">
      <c r="A14" s="43" t="s">
        <v>209</v>
      </c>
      <c r="B14" s="43"/>
      <c r="C14" s="46" t="s">
        <v>210</v>
      </c>
    </row>
    <row r="16" spans="1:5" ht="21" x14ac:dyDescent="0.35">
      <c r="A16" s="40" t="s">
        <v>97</v>
      </c>
      <c r="B16" s="40"/>
      <c r="C16" s="48" t="s">
        <v>338</v>
      </c>
      <c r="D16" s="48" t="s">
        <v>339</v>
      </c>
    </row>
    <row r="17" spans="1:4" x14ac:dyDescent="0.25">
      <c r="A17" s="42" t="s">
        <v>167</v>
      </c>
      <c r="B17" s="43" t="s">
        <v>155</v>
      </c>
      <c r="C17" s="47" t="s">
        <v>169</v>
      </c>
      <c r="D17" s="47" t="s">
        <v>204</v>
      </c>
    </row>
    <row r="18" spans="1:4" x14ac:dyDescent="0.25">
      <c r="A18" s="42" t="s">
        <v>168</v>
      </c>
      <c r="B18" s="43" t="s">
        <v>154</v>
      </c>
      <c r="C18" s="47" t="s">
        <v>170</v>
      </c>
      <c r="D18" s="47" t="s">
        <v>205</v>
      </c>
    </row>
    <row r="19" spans="1:4" x14ac:dyDescent="0.25">
      <c r="A19" s="42" t="s">
        <v>171</v>
      </c>
      <c r="B19" s="43" t="s">
        <v>153</v>
      </c>
      <c r="C19" s="47" t="s">
        <v>172</v>
      </c>
      <c r="D19" s="47" t="s">
        <v>206</v>
      </c>
    </row>
    <row r="20" spans="1:4" x14ac:dyDescent="0.25">
      <c r="A20" s="42" t="s">
        <v>173</v>
      </c>
      <c r="B20" s="43" t="s">
        <v>152</v>
      </c>
      <c r="C20" s="47" t="s">
        <v>174</v>
      </c>
      <c r="D20" s="47" t="s">
        <v>207</v>
      </c>
    </row>
    <row r="22" spans="1:4" ht="21" x14ac:dyDescent="0.35">
      <c r="A22" s="40" t="s">
        <v>175</v>
      </c>
      <c r="B22" s="40"/>
      <c r="C22" s="48" t="s">
        <v>158</v>
      </c>
      <c r="D22" s="48" t="s">
        <v>159</v>
      </c>
    </row>
    <row r="23" spans="1:4" x14ac:dyDescent="0.25">
      <c r="A23" s="42" t="s">
        <v>176</v>
      </c>
      <c r="B23" s="43" t="s">
        <v>152</v>
      </c>
      <c r="C23" s="46" t="s">
        <v>380</v>
      </c>
      <c r="D23" s="46" t="s">
        <v>211</v>
      </c>
    </row>
    <row r="24" spans="1:4" x14ac:dyDescent="0.25">
      <c r="A24" s="42" t="s">
        <v>177</v>
      </c>
      <c r="B24" s="43" t="s">
        <v>152</v>
      </c>
      <c r="C24" s="47" t="s">
        <v>178</v>
      </c>
      <c r="D24" s="47" t="s">
        <v>179</v>
      </c>
    </row>
    <row r="25" spans="1:4" x14ac:dyDescent="0.25">
      <c r="A25" s="42" t="s">
        <v>180</v>
      </c>
      <c r="B25" s="43" t="s">
        <v>152</v>
      </c>
      <c r="C25" s="47" t="s">
        <v>183</v>
      </c>
      <c r="D25" s="47" t="s">
        <v>181</v>
      </c>
    </row>
    <row r="26" spans="1:4" x14ac:dyDescent="0.25">
      <c r="A26" s="42" t="s">
        <v>182</v>
      </c>
      <c r="B26" s="43" t="s">
        <v>153</v>
      </c>
      <c r="C26" s="47" t="s">
        <v>184</v>
      </c>
      <c r="D26" s="47" t="s">
        <v>185</v>
      </c>
    </row>
    <row r="27" spans="1:4" x14ac:dyDescent="0.25">
      <c r="A27" s="42" t="s">
        <v>186</v>
      </c>
      <c r="B27" s="43" t="s">
        <v>153</v>
      </c>
      <c r="C27" s="47" t="s">
        <v>187</v>
      </c>
      <c r="D27" s="47" t="s">
        <v>188</v>
      </c>
    </row>
    <row r="28" spans="1:4" x14ac:dyDescent="0.25">
      <c r="A28" s="42" t="s">
        <v>189</v>
      </c>
      <c r="B28" s="43" t="s">
        <v>153</v>
      </c>
      <c r="C28" s="47" t="s">
        <v>190</v>
      </c>
      <c r="D28" s="47" t="s">
        <v>191</v>
      </c>
    </row>
    <row r="29" spans="1:4" x14ac:dyDescent="0.25">
      <c r="A29" s="42" t="s">
        <v>192</v>
      </c>
      <c r="B29" s="43" t="s">
        <v>154</v>
      </c>
      <c r="C29" s="47" t="s">
        <v>193</v>
      </c>
      <c r="D29" s="47" t="s">
        <v>194</v>
      </c>
    </row>
    <row r="30" spans="1:4" x14ac:dyDescent="0.25">
      <c r="A30" s="42" t="s">
        <v>195</v>
      </c>
      <c r="B30" s="43" t="s">
        <v>154</v>
      </c>
      <c r="C30" s="47" t="s">
        <v>196</v>
      </c>
      <c r="D30" s="47" t="s">
        <v>197</v>
      </c>
    </row>
    <row r="31" spans="1:4" x14ac:dyDescent="0.25">
      <c r="A31" s="42" t="s">
        <v>198</v>
      </c>
      <c r="B31" s="43" t="s">
        <v>154</v>
      </c>
      <c r="C31" s="47" t="s">
        <v>199</v>
      </c>
      <c r="D31" s="47" t="s">
        <v>200</v>
      </c>
    </row>
    <row r="32" spans="1:4" x14ac:dyDescent="0.25">
      <c r="A32" s="42" t="s">
        <v>201</v>
      </c>
      <c r="B32" s="43" t="s">
        <v>155</v>
      </c>
      <c r="C32" s="47" t="s">
        <v>202</v>
      </c>
      <c r="D32" s="47" t="s">
        <v>203</v>
      </c>
    </row>
    <row r="34" spans="1:4" x14ac:dyDescent="0.25">
      <c r="A34" s="43" t="s">
        <v>283</v>
      </c>
      <c r="B34" s="43" t="s">
        <v>152</v>
      </c>
      <c r="C34" s="46" t="s">
        <v>293</v>
      </c>
    </row>
    <row r="35" spans="1:4" x14ac:dyDescent="0.25">
      <c r="A35" s="43" t="s">
        <v>284</v>
      </c>
      <c r="B35" s="43" t="s">
        <v>152</v>
      </c>
      <c r="C35" s="46" t="s">
        <v>295</v>
      </c>
    </row>
    <row r="36" spans="1:4" x14ac:dyDescent="0.25">
      <c r="A36" s="43" t="s">
        <v>285</v>
      </c>
      <c r="B36" s="43" t="s">
        <v>152</v>
      </c>
      <c r="C36" s="46" t="s">
        <v>294</v>
      </c>
    </row>
    <row r="37" spans="1:4" x14ac:dyDescent="0.25">
      <c r="A37" s="43" t="s">
        <v>286</v>
      </c>
      <c r="B37" s="43" t="s">
        <v>153</v>
      </c>
      <c r="C37" s="46" t="s">
        <v>296</v>
      </c>
    </row>
    <row r="38" spans="1:4" x14ac:dyDescent="0.25">
      <c r="A38" s="43" t="s">
        <v>287</v>
      </c>
      <c r="B38" s="43" t="s">
        <v>153</v>
      </c>
      <c r="C38" s="46" t="s">
        <v>297</v>
      </c>
    </row>
    <row r="39" spans="1:4" x14ac:dyDescent="0.25">
      <c r="A39" s="43" t="s">
        <v>288</v>
      </c>
      <c r="B39" s="43" t="s">
        <v>153</v>
      </c>
      <c r="C39" s="46" t="s">
        <v>298</v>
      </c>
    </row>
    <row r="40" spans="1:4" x14ac:dyDescent="0.25">
      <c r="A40" s="43" t="s">
        <v>289</v>
      </c>
      <c r="B40" s="43" t="s">
        <v>154</v>
      </c>
      <c r="C40" s="46" t="s">
        <v>299</v>
      </c>
    </row>
    <row r="41" spans="1:4" x14ac:dyDescent="0.25">
      <c r="A41" s="43" t="s">
        <v>290</v>
      </c>
      <c r="B41" s="43" t="s">
        <v>154</v>
      </c>
      <c r="C41" s="46" t="s">
        <v>300</v>
      </c>
    </row>
    <row r="42" spans="1:4" x14ac:dyDescent="0.25">
      <c r="A42" s="43" t="s">
        <v>291</v>
      </c>
      <c r="B42" s="43" t="s">
        <v>154</v>
      </c>
      <c r="C42" s="46" t="s">
        <v>301</v>
      </c>
    </row>
    <row r="43" spans="1:4" x14ac:dyDescent="0.25">
      <c r="A43" s="43" t="s">
        <v>292</v>
      </c>
      <c r="B43" s="43" t="s">
        <v>155</v>
      </c>
      <c r="C43" s="46" t="s">
        <v>302</v>
      </c>
    </row>
    <row r="45" spans="1:4" ht="21" x14ac:dyDescent="0.35">
      <c r="A45" s="2" t="s">
        <v>71</v>
      </c>
      <c r="B45" s="2"/>
      <c r="C45" s="48" t="s">
        <v>335</v>
      </c>
      <c r="D45" s="48" t="s">
        <v>336</v>
      </c>
    </row>
    <row r="46" spans="1:4" x14ac:dyDescent="0.25">
      <c r="A46" s="43"/>
      <c r="B46" s="43"/>
      <c r="C46" s="46" t="s">
        <v>208</v>
      </c>
      <c r="D46" s="46" t="s">
        <v>337</v>
      </c>
    </row>
    <row r="48" spans="1:4" x14ac:dyDescent="0.25">
      <c r="A48" s="44" t="s">
        <v>213</v>
      </c>
      <c r="B48" s="44"/>
      <c r="C48" s="49" t="s">
        <v>256</v>
      </c>
    </row>
    <row r="49" spans="1:3" x14ac:dyDescent="0.25">
      <c r="A49" s="43" t="s">
        <v>214</v>
      </c>
      <c r="B49" s="43"/>
      <c r="C49" s="46" t="s">
        <v>228</v>
      </c>
    </row>
    <row r="50" spans="1:3" x14ac:dyDescent="0.25">
      <c r="A50" s="43" t="s">
        <v>215</v>
      </c>
      <c r="B50" s="43"/>
      <c r="C50" s="46" t="s">
        <v>229</v>
      </c>
    </row>
    <row r="51" spans="1:3" x14ac:dyDescent="0.25">
      <c r="A51" s="43" t="s">
        <v>216</v>
      </c>
      <c r="B51" s="43"/>
      <c r="C51" s="46" t="s">
        <v>230</v>
      </c>
    </row>
    <row r="52" spans="1:3" x14ac:dyDescent="0.25">
      <c r="A52" s="43" t="s">
        <v>217</v>
      </c>
      <c r="B52" s="43"/>
      <c r="C52" s="46" t="s">
        <v>231</v>
      </c>
    </row>
    <row r="53" spans="1:3" x14ac:dyDescent="0.25">
      <c r="A53" s="43" t="s">
        <v>218</v>
      </c>
      <c r="B53" s="43"/>
      <c r="C53" s="46" t="s">
        <v>232</v>
      </c>
    </row>
    <row r="54" spans="1:3" x14ac:dyDescent="0.25">
      <c r="A54" s="43" t="s">
        <v>219</v>
      </c>
      <c r="B54" s="43"/>
      <c r="C54" s="46" t="s">
        <v>233</v>
      </c>
    </row>
    <row r="55" spans="1:3" x14ac:dyDescent="0.25">
      <c r="A55" s="43" t="s">
        <v>220</v>
      </c>
      <c r="B55" s="43"/>
      <c r="C55" s="46" t="s">
        <v>234</v>
      </c>
    </row>
    <row r="57" spans="1:3" x14ac:dyDescent="0.25">
      <c r="A57" s="44" t="s">
        <v>257</v>
      </c>
      <c r="B57" s="44"/>
      <c r="C57" s="49" t="s">
        <v>258</v>
      </c>
    </row>
    <row r="58" spans="1:3" x14ac:dyDescent="0.25">
      <c r="A58" s="43" t="s">
        <v>221</v>
      </c>
      <c r="B58" s="43"/>
      <c r="C58" s="46" t="s">
        <v>235</v>
      </c>
    </row>
    <row r="59" spans="1:3" x14ac:dyDescent="0.25">
      <c r="A59" s="43" t="s">
        <v>222</v>
      </c>
      <c r="B59" s="43"/>
      <c r="C59" s="46" t="s">
        <v>236</v>
      </c>
    </row>
    <row r="60" spans="1:3" x14ac:dyDescent="0.25">
      <c r="A60" s="43" t="s">
        <v>223</v>
      </c>
      <c r="B60" s="43"/>
      <c r="C60" s="46" t="s">
        <v>237</v>
      </c>
    </row>
    <row r="61" spans="1:3" x14ac:dyDescent="0.25">
      <c r="A61" s="43" t="s">
        <v>224</v>
      </c>
      <c r="B61" s="43"/>
      <c r="C61" s="46" t="s">
        <v>238</v>
      </c>
    </row>
    <row r="62" spans="1:3" x14ac:dyDescent="0.25">
      <c r="A62" s="43" t="s">
        <v>225</v>
      </c>
      <c r="B62" s="43"/>
      <c r="C62" s="46" t="s">
        <v>239</v>
      </c>
    </row>
    <row r="63" spans="1:3" x14ac:dyDescent="0.25">
      <c r="A63" s="43" t="s">
        <v>226</v>
      </c>
      <c r="B63" s="43"/>
      <c r="C63" s="46" t="s">
        <v>240</v>
      </c>
    </row>
    <row r="64" spans="1:3" x14ac:dyDescent="0.25">
      <c r="A64" s="43" t="s">
        <v>227</v>
      </c>
      <c r="B64" s="43"/>
      <c r="C64" s="46" t="s">
        <v>241</v>
      </c>
    </row>
    <row r="66" spans="1:3" x14ac:dyDescent="0.25">
      <c r="A66" s="44" t="s">
        <v>259</v>
      </c>
      <c r="B66" s="44"/>
      <c r="C66" s="49" t="s">
        <v>260</v>
      </c>
    </row>
    <row r="67" spans="1:3" x14ac:dyDescent="0.25">
      <c r="A67" s="43" t="s">
        <v>246</v>
      </c>
      <c r="B67" s="43"/>
      <c r="C67" s="46" t="s">
        <v>242</v>
      </c>
    </row>
    <row r="68" spans="1:3" x14ac:dyDescent="0.25">
      <c r="A68" s="43" t="s">
        <v>247</v>
      </c>
      <c r="B68" s="43"/>
      <c r="C68" s="46" t="s">
        <v>243</v>
      </c>
    </row>
    <row r="69" spans="1:3" x14ac:dyDescent="0.25">
      <c r="A69" s="43" t="s">
        <v>248</v>
      </c>
      <c r="B69" s="43"/>
      <c r="C69" s="46" t="s">
        <v>244</v>
      </c>
    </row>
    <row r="70" spans="1:3" x14ac:dyDescent="0.25">
      <c r="A70" s="43" t="s">
        <v>249</v>
      </c>
      <c r="B70" s="43"/>
      <c r="C70" s="46" t="s">
        <v>245</v>
      </c>
    </row>
    <row r="71" spans="1:3" x14ac:dyDescent="0.25">
      <c r="A71" s="43" t="s">
        <v>250</v>
      </c>
      <c r="B71" s="43"/>
      <c r="C71" s="50" t="s">
        <v>251</v>
      </c>
    </row>
    <row r="72" spans="1:3" x14ac:dyDescent="0.25">
      <c r="A72" s="43" t="s">
        <v>252</v>
      </c>
      <c r="B72" s="43"/>
      <c r="C72" s="46" t="s">
        <v>253</v>
      </c>
    </row>
    <row r="73" spans="1:3" x14ac:dyDescent="0.25">
      <c r="A73" s="43" t="s">
        <v>254</v>
      </c>
      <c r="B73" s="43"/>
      <c r="C73" s="46" t="s">
        <v>255</v>
      </c>
    </row>
    <row r="75" spans="1:3" ht="21" x14ac:dyDescent="0.35">
      <c r="C75" s="48" t="s">
        <v>261</v>
      </c>
    </row>
    <row r="76" spans="1:3" x14ac:dyDescent="0.25">
      <c r="A76" s="44" t="s">
        <v>71</v>
      </c>
      <c r="B76" s="44"/>
      <c r="C76" s="46" t="s">
        <v>266</v>
      </c>
    </row>
    <row r="77" spans="1:3" x14ac:dyDescent="0.25">
      <c r="C77" s="46" t="s">
        <v>267</v>
      </c>
    </row>
    <row r="78" spans="1:3" x14ac:dyDescent="0.25">
      <c r="C78" s="46" t="s">
        <v>262</v>
      </c>
    </row>
    <row r="79" spans="1:3" x14ac:dyDescent="0.25">
      <c r="C79" s="46" t="s">
        <v>375</v>
      </c>
    </row>
    <row r="81" spans="1:3" x14ac:dyDescent="0.25">
      <c r="A81" s="44" t="s">
        <v>175</v>
      </c>
      <c r="B81" s="44"/>
      <c r="C81" s="46" t="s">
        <v>263</v>
      </c>
    </row>
    <row r="82" spans="1:3" x14ac:dyDescent="0.25">
      <c r="C82" s="46" t="s">
        <v>264</v>
      </c>
    </row>
    <row r="83" spans="1:3" x14ac:dyDescent="0.25">
      <c r="C83" s="46" t="s">
        <v>265</v>
      </c>
    </row>
    <row r="84" spans="1:3" x14ac:dyDescent="0.25">
      <c r="C84" s="46" t="s">
        <v>376</v>
      </c>
    </row>
    <row r="86" spans="1:3" x14ac:dyDescent="0.25">
      <c r="C86" s="46" t="s">
        <v>270</v>
      </c>
    </row>
    <row r="87" spans="1:3" x14ac:dyDescent="0.25">
      <c r="C87" s="46" t="s">
        <v>271</v>
      </c>
    </row>
    <row r="89" spans="1:3" x14ac:dyDescent="0.25">
      <c r="A89" s="44" t="s">
        <v>97</v>
      </c>
      <c r="B89" s="44"/>
      <c r="C89" s="46" t="s">
        <v>268</v>
      </c>
    </row>
    <row r="90" spans="1:3" x14ac:dyDescent="0.25">
      <c r="C90" s="46" t="s">
        <v>269</v>
      </c>
    </row>
    <row r="92" spans="1:3" ht="21" x14ac:dyDescent="0.35">
      <c r="C92" s="48" t="s">
        <v>282</v>
      </c>
    </row>
    <row r="93" spans="1:3" x14ac:dyDescent="0.25">
      <c r="A93" s="44" t="s">
        <v>312</v>
      </c>
      <c r="B93" s="44"/>
    </row>
    <row r="94" spans="1:3" x14ac:dyDescent="0.25">
      <c r="A94" s="43" t="s">
        <v>313</v>
      </c>
      <c r="B94" s="43"/>
      <c r="C94" s="46" t="s">
        <v>316</v>
      </c>
    </row>
    <row r="95" spans="1:3" x14ac:dyDescent="0.25">
      <c r="A95" s="43" t="s">
        <v>314</v>
      </c>
      <c r="B95" s="43"/>
      <c r="C95" s="46" t="s">
        <v>317</v>
      </c>
    </row>
    <row r="96" spans="1:3" x14ac:dyDescent="0.25">
      <c r="A96" s="43" t="s">
        <v>315</v>
      </c>
      <c r="B96" s="43"/>
      <c r="C96" s="46" t="s">
        <v>318</v>
      </c>
    </row>
    <row r="97" spans="1:3" x14ac:dyDescent="0.25">
      <c r="A97" s="43" t="s">
        <v>326</v>
      </c>
      <c r="B97" s="43" t="s">
        <v>152</v>
      </c>
      <c r="C97" s="46" t="s">
        <v>329</v>
      </c>
    </row>
    <row r="98" spans="1:3" x14ac:dyDescent="0.25">
      <c r="A98" s="43" t="s">
        <v>330</v>
      </c>
      <c r="B98" s="43" t="s">
        <v>153</v>
      </c>
      <c r="C98" s="46" t="s">
        <v>327</v>
      </c>
    </row>
    <row r="99" spans="1:3" x14ac:dyDescent="0.25">
      <c r="A99" s="43" t="s">
        <v>331</v>
      </c>
      <c r="B99" s="43" t="s">
        <v>154</v>
      </c>
      <c r="C99" s="46" t="s">
        <v>328</v>
      </c>
    </row>
    <row r="100" spans="1:3" x14ac:dyDescent="0.25">
      <c r="A100" s="43" t="s">
        <v>332</v>
      </c>
      <c r="B100" s="43" t="s">
        <v>155</v>
      </c>
      <c r="C100" s="46" t="s">
        <v>333</v>
      </c>
    </row>
    <row r="102" spans="1:3" x14ac:dyDescent="0.25">
      <c r="A102" s="44" t="s">
        <v>361</v>
      </c>
    </row>
    <row r="103" spans="1:3" x14ac:dyDescent="0.25">
      <c r="A103" s="43" t="s">
        <v>362</v>
      </c>
      <c r="C103" s="46" t="s">
        <v>363</v>
      </c>
    </row>
    <row r="104" spans="1:3" x14ac:dyDescent="0.25">
      <c r="A104" s="43" t="s">
        <v>314</v>
      </c>
      <c r="C104" s="46" t="s">
        <v>364</v>
      </c>
    </row>
    <row r="105" spans="1:3" x14ac:dyDescent="0.25">
      <c r="A105" s="43" t="s">
        <v>315</v>
      </c>
      <c r="C105" s="46" t="s">
        <v>365</v>
      </c>
    </row>
    <row r="106" spans="1:3" x14ac:dyDescent="0.25">
      <c r="A106" s="43" t="s">
        <v>366</v>
      </c>
      <c r="B106" s="43" t="s">
        <v>152</v>
      </c>
      <c r="C106" s="46" t="s">
        <v>367</v>
      </c>
    </row>
    <row r="107" spans="1:3" x14ac:dyDescent="0.25">
      <c r="A107" s="43" t="s">
        <v>368</v>
      </c>
      <c r="B107" s="43" t="s">
        <v>153</v>
      </c>
      <c r="C107" s="46" t="s">
        <v>369</v>
      </c>
    </row>
    <row r="108" spans="1:3" x14ac:dyDescent="0.25">
      <c r="A108" s="43" t="s">
        <v>370</v>
      </c>
      <c r="B108" s="43" t="s">
        <v>154</v>
      </c>
      <c r="C108" s="46" t="s">
        <v>371</v>
      </c>
    </row>
    <row r="109" spans="1:3" x14ac:dyDescent="0.25">
      <c r="A109" s="43" t="s">
        <v>372</v>
      </c>
      <c r="B109" s="43" t="s">
        <v>155</v>
      </c>
      <c r="C109" s="46" t="s">
        <v>373</v>
      </c>
    </row>
    <row r="112" spans="1:3" ht="21" x14ac:dyDescent="0.35">
      <c r="A112" s="48" t="s">
        <v>381</v>
      </c>
    </row>
    <row r="113" spans="1:3" ht="15.75" x14ac:dyDescent="0.25">
      <c r="A113" s="104" t="s">
        <v>105</v>
      </c>
      <c r="B113" s="104" t="s">
        <v>67</v>
      </c>
      <c r="C113" s="105" t="s">
        <v>389</v>
      </c>
    </row>
    <row r="114" spans="1:3" x14ac:dyDescent="0.25">
      <c r="A114" s="43" t="s">
        <v>382</v>
      </c>
      <c r="B114" s="42">
        <v>4</v>
      </c>
      <c r="C114" s="46" t="s">
        <v>383</v>
      </c>
    </row>
    <row r="115" spans="1:3" x14ac:dyDescent="0.25">
      <c r="B115" s="42">
        <v>3</v>
      </c>
      <c r="C115" s="46" t="s">
        <v>384</v>
      </c>
    </row>
    <row r="116" spans="1:3" x14ac:dyDescent="0.25">
      <c r="A116" s="43" t="s">
        <v>385</v>
      </c>
      <c r="B116" s="42">
        <v>4</v>
      </c>
      <c r="C116" s="46" t="s">
        <v>386</v>
      </c>
    </row>
    <row r="117" spans="1:3" x14ac:dyDescent="0.25">
      <c r="B117" s="42">
        <v>3</v>
      </c>
      <c r="C117" s="46" t="s">
        <v>387</v>
      </c>
    </row>
    <row r="118" spans="1:3" x14ac:dyDescent="0.25">
      <c r="A118" s="43" t="s">
        <v>388</v>
      </c>
      <c r="B118" s="42">
        <v>4</v>
      </c>
      <c r="C118" s="46" t="s">
        <v>390</v>
      </c>
    </row>
    <row r="119" spans="1:3" x14ac:dyDescent="0.25">
      <c r="B119" s="42">
        <v>3</v>
      </c>
      <c r="C119" s="46" t="s">
        <v>391</v>
      </c>
    </row>
    <row r="120" spans="1:3" x14ac:dyDescent="0.25">
      <c r="A120" s="43" t="s">
        <v>392</v>
      </c>
      <c r="B120" s="42">
        <v>4</v>
      </c>
      <c r="C120" s="46" t="s">
        <v>393</v>
      </c>
    </row>
    <row r="121" spans="1:3" x14ac:dyDescent="0.25">
      <c r="B121" s="42">
        <v>3</v>
      </c>
      <c r="C121" s="46" t="s">
        <v>394</v>
      </c>
    </row>
    <row r="122" spans="1:3" x14ac:dyDescent="0.25">
      <c r="A122" s="43" t="s">
        <v>395</v>
      </c>
      <c r="B122" s="42">
        <v>4</v>
      </c>
      <c r="C122" s="46" t="s">
        <v>396</v>
      </c>
    </row>
    <row r="123" spans="1:3" x14ac:dyDescent="0.25">
      <c r="B123" s="42">
        <v>3</v>
      </c>
      <c r="C123" s="46" t="s">
        <v>397</v>
      </c>
    </row>
    <row r="124" spans="1:3" x14ac:dyDescent="0.25">
      <c r="A124" s="43" t="s">
        <v>398</v>
      </c>
      <c r="B124" s="42">
        <v>4</v>
      </c>
      <c r="C124" s="46" t="s">
        <v>399</v>
      </c>
    </row>
    <row r="125" spans="1:3" x14ac:dyDescent="0.25">
      <c r="B125" s="42">
        <v>3</v>
      </c>
      <c r="C125" s="46" t="s">
        <v>400</v>
      </c>
    </row>
    <row r="126" spans="1:3" x14ac:dyDescent="0.25">
      <c r="A126" s="43" t="s">
        <v>401</v>
      </c>
      <c r="B126" s="42">
        <v>4</v>
      </c>
      <c r="C126" s="46" t="s">
        <v>402</v>
      </c>
    </row>
    <row r="127" spans="1:3" x14ac:dyDescent="0.25">
      <c r="B127" s="42">
        <v>3</v>
      </c>
      <c r="C127" s="46" t="s">
        <v>403</v>
      </c>
    </row>
    <row r="128" spans="1:3" x14ac:dyDescent="0.25">
      <c r="A128" s="43" t="s">
        <v>404</v>
      </c>
      <c r="B128" s="42">
        <v>4</v>
      </c>
      <c r="C128" s="46" t="s">
        <v>405</v>
      </c>
    </row>
    <row r="129" spans="1:3" x14ac:dyDescent="0.25">
      <c r="B129" s="42">
        <v>3</v>
      </c>
      <c r="C129" s="46" t="s">
        <v>406</v>
      </c>
    </row>
    <row r="130" spans="1:3" x14ac:dyDescent="0.25">
      <c r="A130" s="43" t="s">
        <v>407</v>
      </c>
      <c r="B130" s="42">
        <v>4</v>
      </c>
      <c r="C130" s="46" t="s">
        <v>408</v>
      </c>
    </row>
    <row r="131" spans="1:3" x14ac:dyDescent="0.25">
      <c r="B131" s="42">
        <v>3</v>
      </c>
      <c r="C131" s="46" t="s">
        <v>409</v>
      </c>
    </row>
    <row r="132" spans="1:3" x14ac:dyDescent="0.25">
      <c r="A132" s="43" t="s">
        <v>410</v>
      </c>
      <c r="B132" s="42">
        <v>4</v>
      </c>
      <c r="C132" s="46" t="s">
        <v>411</v>
      </c>
    </row>
    <row r="133" spans="1:3" x14ac:dyDescent="0.25">
      <c r="B133" s="42">
        <v>3</v>
      </c>
      <c r="C133" s="46" t="s">
        <v>412</v>
      </c>
    </row>
    <row r="134" spans="1:3" x14ac:dyDescent="0.25">
      <c r="A134" s="43" t="s">
        <v>413</v>
      </c>
      <c r="B134" s="42">
        <v>4</v>
      </c>
      <c r="C134" s="46" t="s">
        <v>414</v>
      </c>
    </row>
    <row r="135" spans="1:3" x14ac:dyDescent="0.25">
      <c r="B135" s="42">
        <v>3</v>
      </c>
      <c r="C135" s="46" t="s">
        <v>415</v>
      </c>
    </row>
    <row r="136" spans="1:3" x14ac:dyDescent="0.25">
      <c r="A136" s="43" t="s">
        <v>99</v>
      </c>
      <c r="B136" s="42">
        <v>4</v>
      </c>
      <c r="C136" s="46" t="s">
        <v>416</v>
      </c>
    </row>
    <row r="137" spans="1:3" x14ac:dyDescent="0.25">
      <c r="B137" s="42">
        <v>3</v>
      </c>
      <c r="C137" s="46" t="s">
        <v>417</v>
      </c>
    </row>
    <row r="138" spans="1:3" x14ac:dyDescent="0.25">
      <c r="A138" s="43" t="s">
        <v>276</v>
      </c>
      <c r="B138" s="42">
        <v>4</v>
      </c>
      <c r="C138" s="46" t="s">
        <v>418</v>
      </c>
    </row>
    <row r="139" spans="1:3" x14ac:dyDescent="0.25">
      <c r="B139" s="42">
        <v>3</v>
      </c>
      <c r="C139" s="46" t="s">
        <v>419</v>
      </c>
    </row>
    <row r="140" spans="1:3" x14ac:dyDescent="0.25">
      <c r="A140" s="43" t="s">
        <v>98</v>
      </c>
      <c r="B140" s="42">
        <v>4</v>
      </c>
      <c r="C140" s="46" t="s">
        <v>420</v>
      </c>
    </row>
    <row r="141" spans="1:3" x14ac:dyDescent="0.25">
      <c r="B141" s="42">
        <v>3</v>
      </c>
      <c r="C141" s="46" t="s">
        <v>421</v>
      </c>
    </row>
  </sheetData>
  <sheetProtection algorithmName="SHA-512" hashValue="+u3FdoiJvCpimpcCqpRmWoBsznWDCvFRkkYe4MQG5bBmo8zx21LlBgfYXPX6dAlRRll3venibjpORCAJjWW71g==" saltValue="r7OnUF1bfTSyt2U+txBxvw==" spinCount="100000" sheet="1" objects="1" scenarios="1"/>
  <pageMargins left="0.7" right="0.7" top="0.78740157499999996" bottom="0.78740157499999996"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Auswertung</vt:lpstr>
      <vt:lpstr>Elemente gr. Arkana</vt:lpstr>
      <vt:lpstr>Baum des Lebens</vt:lpstr>
      <vt:lpstr>Analyse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 Pasteur</dc:creator>
  <cp:lastModifiedBy>Andre Pasteur</cp:lastModifiedBy>
  <dcterms:created xsi:type="dcterms:W3CDTF">2017-07-26T17:38:41Z</dcterms:created>
  <dcterms:modified xsi:type="dcterms:W3CDTF">2023-07-01T13:10:10Z</dcterms:modified>
</cp:coreProperties>
</file>